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Biểu" sheetId="1" r:id="rId1"/>
  </sheets>
  <definedNames>
    <definedName name="_xlnm.Print_Titles" localSheetId="0">'Biểu'!$4:$6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3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TT Tại KB tinh-Đoàn</t>
        </r>
      </text>
    </comment>
  </commentList>
</comments>
</file>

<file path=xl/sharedStrings.xml><?xml version="1.0" encoding="utf-8"?>
<sst xmlns="http://schemas.openxmlformats.org/spreadsheetml/2006/main" count="303" uniqueCount="194">
  <si>
    <t>STT</t>
  </si>
  <si>
    <t>Nhà huấn luyện dân quân tự vệ</t>
  </si>
  <si>
    <t xml:space="preserve">UBND huyện </t>
  </si>
  <si>
    <t>TT Ít Ong</t>
  </si>
  <si>
    <t>NHM</t>
  </si>
  <si>
    <t>Điện chiếu sáng thị tứ Mường Bú, huyện Mường La</t>
  </si>
  <si>
    <t>Mường Bú</t>
  </si>
  <si>
    <t>3km</t>
  </si>
  <si>
    <t>Nước sinh hoạt bảo Nong Quài xã Chiềng Muôn</t>
  </si>
  <si>
    <t>Chiềng Muôn</t>
  </si>
  <si>
    <t>69 hộ</t>
  </si>
  <si>
    <t>Nước sinh hoạt bản Luồng xã Chiềng San</t>
  </si>
  <si>
    <t>Chiềng San</t>
  </si>
  <si>
    <t>100 hộ</t>
  </si>
  <si>
    <t>Nhiều HM</t>
  </si>
  <si>
    <t>Sửa chữa nhà làm việc Huyện ủy, HĐND, UBND</t>
  </si>
  <si>
    <t>Sửa chữa</t>
  </si>
  <si>
    <t>UBND huyện</t>
  </si>
  <si>
    <t>Nâng cấp trạm phát thanh - trạm truyền hình Mường Bú</t>
  </si>
  <si>
    <t>Chợ trung tâm xã Mường Bú</t>
  </si>
  <si>
    <t>Nhà lắp ghép các xã</t>
  </si>
  <si>
    <t>Hệ thống nước phòng cháy</t>
  </si>
  <si>
    <t>Hệ thống rãnh đường 106 - Tiểu khu 1</t>
  </si>
  <si>
    <t>Hệ thống điện khu đô thị mới</t>
  </si>
  <si>
    <t>Chợ trung tâm xã Chiềng Hoa</t>
  </si>
  <si>
    <t>Kè cọn nước + Bến nước phòng cháy chữa cháy cổng chào TT Ít Ong, Mường La</t>
  </si>
  <si>
    <t>2km</t>
  </si>
  <si>
    <t>Sân vận động và san nền khu đô thị mới, TT Ít Ong</t>
  </si>
  <si>
    <t>31 nền</t>
  </si>
  <si>
    <t>Ngọc Chiến</t>
  </si>
  <si>
    <t>900M</t>
  </si>
  <si>
    <t>Cải tạo nhà văn hóa tiểu khu 5 TT Ít Ong</t>
  </si>
  <si>
    <t>120m2</t>
  </si>
  <si>
    <t>Cải tạo bùng binh tam giác tại ngã ba trung tâm viễn thông huyện Mường La</t>
  </si>
  <si>
    <t>500m2</t>
  </si>
  <si>
    <t>Đường điện bản Pá Kìm xã Chiềng Muôn</t>
  </si>
  <si>
    <t>43 hộ</t>
  </si>
  <si>
    <t>Đường và sân vận động xã Ngọc Chiến</t>
  </si>
  <si>
    <t>Đường Bản Phày + Bản Mường Chiến xã Ngọc Chiến</t>
  </si>
  <si>
    <t>Chủ đầu tư</t>
  </si>
  <si>
    <t>Địa điểm XD</t>
  </si>
  <si>
    <t>Năng lực thiết kế</t>
  </si>
  <si>
    <t>lúy kế Khối lượng nghiệm thu</t>
  </si>
  <si>
    <t>Lũy kế số vốn đã đã giải ngân đến 20/6/2017</t>
  </si>
  <si>
    <t>Kế hoạch còn lại chưa giải ngân</t>
  </si>
  <si>
    <t>Ghi chú</t>
  </si>
  <si>
    <t>Tổng mức đầu được duyệt</t>
  </si>
  <si>
    <t>Nhu cầu vốn để hoàn thành dự án</t>
  </si>
  <si>
    <t>Chiềng Hoa</t>
  </si>
  <si>
    <t>Nâng cấp Trạm phát thanh -  truyền hình xã Ngọc Chiến</t>
  </si>
  <si>
    <t>Trạm truyền thanh xã Nặm Păm</t>
  </si>
  <si>
    <t>Vườn hoa Bưu điện</t>
  </si>
  <si>
    <t>Sửa chữa hàng rào Nhà khách và sân Quảng trường</t>
  </si>
  <si>
    <t>Sửa chữa Trung tâm Văn hóa huyện</t>
  </si>
  <si>
    <t>Nặm Păm</t>
  </si>
  <si>
    <t>A</t>
  </si>
  <si>
    <t>B</t>
  </si>
  <si>
    <t>Tổng số</t>
  </si>
  <si>
    <t>Danh mục dự án</t>
  </si>
  <si>
    <t>Thời gian thực hiện, khởi công hoàn thành</t>
  </si>
  <si>
    <t>Quyết định đầu tư, điều chỉnh</t>
  </si>
  <si>
    <t>Lũy kế vốn đã bố trí đến hết 15/11/2017</t>
  </si>
  <si>
    <t>Nhu cầu vốn còn thiếu để hoàn thành dự án</t>
  </si>
  <si>
    <t>Trong đó: Nợ XDCB</t>
  </si>
  <si>
    <t xml:space="preserve">Tổng số </t>
  </si>
  <si>
    <t>Trong đó</t>
  </si>
  <si>
    <t>Nguồn bổ sung cân đối NS tỉnh hỗ trợ thực hiện CTMTQG xây dựng NTM</t>
  </si>
  <si>
    <t>NSH bản Huổi Chèo</t>
  </si>
  <si>
    <t>Nậm Giôn</t>
  </si>
  <si>
    <t>Nhà văn hóa bản Huổi Chà</t>
  </si>
  <si>
    <t>Nhà văn hoá Bản Huổi Sưa</t>
  </si>
  <si>
    <t>Công trình cấp nước sinh hoạt bản Tôm</t>
  </si>
  <si>
    <t>Tạ Bú</t>
  </si>
  <si>
    <t>Công trình thuỷ lợi bản Đông Lỏng (Mương Pá Pâu)</t>
  </si>
  <si>
    <t>Nhà văn hóa bản Co Két - Nà Tâu</t>
  </si>
  <si>
    <t>Nhà văn hóa bản Lướt - Pom Mỉn - Đông Lỏng</t>
  </si>
  <si>
    <t>NSH bản Đin Lanh</t>
  </si>
  <si>
    <t>Chiềng Công</t>
  </si>
  <si>
    <t>Nhà văn hóa bản Kéo Hỏm</t>
  </si>
  <si>
    <t>Kênh bản Hán Cá Thịnh</t>
  </si>
  <si>
    <t>Nhà văn hoá bản Pá Kìm</t>
  </si>
  <si>
    <t>NSH bản Hua Đán</t>
  </si>
  <si>
    <t>Công trình cấp nước sinh hoạt bản Pá Làng</t>
  </si>
  <si>
    <t>Nhà văn hóa bản Nong</t>
  </si>
  <si>
    <t>Cấp NSH bản Pi</t>
  </si>
  <si>
    <t>Pi Toong</t>
  </si>
  <si>
    <t xml:space="preserve">Cấp nước sinh hoạt bản Pá Xá Hồng </t>
  </si>
  <si>
    <t>Chiềng Ân</t>
  </si>
  <si>
    <t>Cấp NSH bản Xạ Súng</t>
  </si>
  <si>
    <t>Nước sinh hoạt Pá Sóng</t>
  </si>
  <si>
    <t>Chiềng Lao</t>
  </si>
  <si>
    <t>Nước sinh hoạt Huổi Hậu</t>
  </si>
  <si>
    <t>Cấp nước sinh hoạt bản Nà Sản - Nà Tòng</t>
  </si>
  <si>
    <t>Hua Trai</t>
  </si>
  <si>
    <t>Đường giao thông vào trung tâm xã</t>
  </si>
  <si>
    <t>Nhà văn hóa bản Huổi Điếng</t>
  </si>
  <si>
    <t>Nhà văn hóa bản Huổi Hốc</t>
  </si>
  <si>
    <t xml:space="preserve">Cấp nước sinh hoạt bản Bó Cốp </t>
  </si>
  <si>
    <t>Nhà văn hóa bản Thẳm Súng</t>
  </si>
  <si>
    <t>Nhà văn hóa bản Chón</t>
  </si>
  <si>
    <t>Cấp nước sinh hoạt bản Nà Tòng</t>
  </si>
  <si>
    <t>Mường Chùm</t>
  </si>
  <si>
    <t>Nhà văn hóa bản Nậm Ún 2</t>
  </si>
  <si>
    <t>Mường Trai</t>
  </si>
  <si>
    <t>Nhà văn hóa bản Huổi Ban</t>
  </si>
  <si>
    <t>TMDT trừ dự phòng, dân góp</t>
  </si>
  <si>
    <t>Nhu cầu vốn so với TMĐT</t>
  </si>
  <si>
    <t xml:space="preserve">Nguồn XDCBTT </t>
  </si>
  <si>
    <t>Nguồn vốn cấp quyền sử dụng đất</t>
  </si>
  <si>
    <t>C</t>
  </si>
  <si>
    <t>D</t>
  </si>
  <si>
    <t>E</t>
  </si>
  <si>
    <t>G</t>
  </si>
  <si>
    <t>F</t>
  </si>
  <si>
    <t>DANH MỤC DỰ ÁN BỐ TRÍ TRONG KẾ HOẠCH VỐN NĂM 2018 THUỘC CÁC NGUỒN VỐN NGÂN SÁCH CẤP HUYỆN</t>
  </si>
  <si>
    <t>3980-
29/12/2015</t>
  </si>
  <si>
    <t>3176-
17/10/16</t>
  </si>
  <si>
    <t>3418-
10/11/16</t>
  </si>
  <si>
    <t>100-
13/01/17</t>
  </si>
  <si>
    <t>448-
29/03/17</t>
  </si>
  <si>
    <t>253-
16/02/17</t>
  </si>
  <si>
    <t>377-
15/3/17</t>
  </si>
  <si>
    <t>469-
31/3/17</t>
  </si>
  <si>
    <t>2170-
12/10/17</t>
  </si>
  <si>
    <t>383-
15/03/17</t>
  </si>
  <si>
    <t>841-
18/5/17</t>
  </si>
  <si>
    <t>839-
17/5/17</t>
  </si>
  <si>
    <t>1152-
15/6/17</t>
  </si>
  <si>
    <t>470-
31/3/17</t>
  </si>
  <si>
    <t>1684
25/8/2017</t>
  </si>
  <si>
    <t>1682
25/8/2017</t>
  </si>
  <si>
    <t>1681
25/8/2017</t>
  </si>
  <si>
    <t>1680
25/8/2017</t>
  </si>
  <si>
    <t>Nguồn bổ sung trong cân đối được phân cấp hỗ trợ thực hiện CTMTQG xây dựng NTM</t>
  </si>
  <si>
    <t>Nâng cấp trạm truyền hình số mặt đất trung tâm huyện Mường La</t>
  </si>
  <si>
    <t>1170-28/3/2017</t>
  </si>
  <si>
    <t>Nước sinh hoạt bản Tả xã Chiềng Hoa</t>
  </si>
  <si>
    <t>1995-
18/7/13</t>
  </si>
  <si>
    <t>Dự án khu chôn lấp và xử lý chất thải rắn huyện Mường La</t>
  </si>
  <si>
    <t>Nhà lắp ghép, nhà vệ sinh trụ sở xã Chiềng Muôn</t>
  </si>
  <si>
    <t>Kế hoạch vốn giao năm 2018</t>
  </si>
  <si>
    <t>Lập kế hoạch sử dụng đất năm 2018</t>
  </si>
  <si>
    <t>Chi phí cho đấu giá quyền sử dụng đất</t>
  </si>
  <si>
    <t>Hỗ trợ về nhà ở cho hộ gia đình người có công với cách mạng</t>
  </si>
  <si>
    <t>Hỗ trợ xi măng theo Nghị quyết 115/NQ-HĐND tỉnh</t>
  </si>
  <si>
    <t>Nâng cấp, mở rộng đường từ ngã ba Nà Kè đi Thủy điện Sơn La, thị trấn Ít Ong, huyện Mường La</t>
  </si>
  <si>
    <t>2153 -
10/10/2017</t>
  </si>
  <si>
    <t>909 -
30/5/2017</t>
  </si>
  <si>
    <t xml:space="preserve">                                                                                         Đơn vị tính: Triệu đồng</t>
  </si>
  <si>
    <t>Hội trường và tường rào bao quanh trụ sở Đảng uỷ, HĐND - UBND xã Mường Bú</t>
  </si>
  <si>
    <t>DỰ ÁN HOÀN THÀNH BÀN GIAO ĐƯA VÀO SỬ DỤNG</t>
  </si>
  <si>
    <t>DỰ ÁN CHUYỂN TIẾP</t>
  </si>
  <si>
    <t>CÔNG TRÌNH ĐẦU TƯ MỚI 2018</t>
  </si>
  <si>
    <t>Tường rào + nhà vệ sinh Trung tâm chính trị huyện 
Mường La</t>
  </si>
  <si>
    <t>Ốp chữ đồng cổng trụ sở Huyện ủy, HĐND - UBND huyện</t>
  </si>
  <si>
    <t>Trung tâm Hành chính công</t>
  </si>
  <si>
    <t>DỰ PHÒNG 10% VỐN XDCBTT NĂM 2018</t>
  </si>
  <si>
    <t>KINH PHÍ QUY HOẠCH, GIAO ĐẤT, KIỂM KÊ ĐẤT 
ĐAI (20%)</t>
  </si>
  <si>
    <t>CÔNG TÁC BT, GPMB VÀ ĐẦU TƯ HẠ TẦNG CÁC DỰ ÁN TẠO QUỸ ĐẤT ĐỂ BÁN ĐẤU GIÁ (30%)</t>
  </si>
  <si>
    <t>HỖ TRỢ THỰC HIỆN CHƯƠNG TRÌNH MTQG NÔNG THÔN MỚI</t>
  </si>
  <si>
    <t>Trạm Y tế xã Chiềng Hoa</t>
  </si>
  <si>
    <t>Số QĐ ngày, tháng, năm ban hành</t>
  </si>
  <si>
    <t>2425 - 
06/7/16</t>
  </si>
  <si>
    <t>3413-
07/11/16</t>
  </si>
  <si>
    <t>354-
02/3/17</t>
  </si>
  <si>
    <t>285-
23/02/17</t>
  </si>
  <si>
    <t>1836-
08/9/17</t>
  </si>
  <si>
    <t>1614
16/8/2017</t>
  </si>
  <si>
    <t>1617
16/8/2017</t>
  </si>
  <si>
    <t>1616
16/8/2017</t>
  </si>
  <si>
    <t>1665
23/8/2017</t>
  </si>
  <si>
    <t>1670
25/8/2017</t>
  </si>
  <si>
    <t>1622
17/8/2017</t>
  </si>
  <si>
    <t>1610
16/8/2017</t>
  </si>
  <si>
    <t>1609
16/8/2017</t>
  </si>
  <si>
    <t>1612
 16/8/2017</t>
  </si>
  <si>
    <t>1611
16/8/2017</t>
  </si>
  <si>
    <t>1623
17/8/2017</t>
  </si>
  <si>
    <t>1671
25/8/2017</t>
  </si>
  <si>
    <t>1672
25/8/2017</t>
  </si>
  <si>
    <t>1624
17/8/2017</t>
  </si>
  <si>
    <t>1673
25/8/2017</t>
  </si>
  <si>
    <t>1674
25/8/2017</t>
  </si>
  <si>
    <t>1675
25/8/2017</t>
  </si>
  <si>
    <t>1615
16/8/2017</t>
  </si>
  <si>
    <t>1676
 25/8/2017</t>
  </si>
  <si>
    <t>1677
25/8/2017</t>
  </si>
  <si>
    <t>1678
25/8/2017</t>
  </si>
  <si>
    <t>1679
 25/8/2017</t>
  </si>
  <si>
    <t>1865
 12/9/2017</t>
  </si>
  <si>
    <t>1809
05/9/2017</t>
  </si>
  <si>
    <t>1683
 25/8/2017</t>
  </si>
  <si>
    <t>1686
25/8/2017</t>
  </si>
  <si>
    <t>(Kèm theo Nghị quyết số 11/NQ-HĐND ngày 13 tháng 12 năm 2017 của HĐND huyện Mường La)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</si>
</sst>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00_);_(* \(#,##0.000\);_(* &quot;-&quot;???_);_(@_)"/>
    <numFmt numFmtId="174" formatCode="_(* #,##0_);_(* \(#,##0\);_(* &quot;-&quot;??_);_(@_)"/>
    <numFmt numFmtId="175" formatCode="_-* #,##0\ _₫_-;\-* #,##0\ _₫_-;_-* &quot;-&quot;??\ _₫_-;_-@_-"/>
    <numFmt numFmtId="176" formatCode="_(* #,##0.0_);_(* \(#,##0.0\);_(* &quot;-&quot;??_);_(@_)"/>
    <numFmt numFmtId="177" formatCode="_ * #,##0.00_)&quot;$&quot;_ ;_ * \(#,##0.00\)&quot;$&quot;_ ;_ * &quot;-&quot;??_)&quot;$&quot;_ ;_ @_ "/>
    <numFmt numFmtId="178" formatCode="_(* #,##0.0000_);_(* \(#,##0.0000\);_(* &quot;-&quot;??_);_(@_)"/>
  </numFmts>
  <fonts count="57">
    <font>
      <sz val="12"/>
      <name val=".VnTime"/>
      <family val="2"/>
    </font>
    <font>
      <sz val="14"/>
      <color indexed="8"/>
      <name val="Times New Roman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0"/>
      <color indexed="8"/>
      <name val="Times New Roman"/>
      <family val="2"/>
    </font>
    <font>
      <sz val="13"/>
      <name val=".VnTime"/>
      <family val="2"/>
    </font>
    <font>
      <sz val="8"/>
      <name val=".VnTime"/>
      <family val="2"/>
    </font>
    <font>
      <sz val="12"/>
      <color indexed="8"/>
      <name val="Times New Roman"/>
      <family val="2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7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i/>
      <sz val="12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1"/>
      <color theme="1"/>
      <name val="Calibri"/>
      <family val="2"/>
    </font>
    <font>
      <sz val="10"/>
      <color theme="1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8"/>
      <name val=".VnTim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9" fillId="0" borderId="0">
      <alignment/>
      <protection/>
    </xf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72" fontId="14" fillId="0" borderId="0" xfId="43" applyNumberFormat="1" applyFont="1" applyFill="1" applyAlignment="1">
      <alignment/>
    </xf>
    <xf numFmtId="172" fontId="14" fillId="0" borderId="0" xfId="43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173" fontId="1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173" fontId="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66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52" applyNumberFormat="1" applyFont="1" applyFill="1" applyBorder="1" applyAlignment="1">
      <alignment horizontal="center" vertical="center" wrapText="1"/>
    </xf>
    <xf numFmtId="0" fontId="4" fillId="0" borderId="10" xfId="66" applyFont="1" applyFill="1" applyBorder="1" applyAlignment="1">
      <alignment horizontal="center" vertical="center"/>
      <protection/>
    </xf>
    <xf numFmtId="0" fontId="4" fillId="0" borderId="10" xfId="66" applyFont="1" applyFill="1" applyBorder="1" applyAlignment="1">
      <alignment horizontal="center" vertical="center" wrapText="1"/>
      <protection/>
    </xf>
    <xf numFmtId="172" fontId="4" fillId="0" borderId="10" xfId="5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5" fillId="0" borderId="10" xfId="66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66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43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72" fontId="4" fillId="0" borderId="10" xfId="43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72" fontId="5" fillId="0" borderId="10" xfId="43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/>
    </xf>
    <xf numFmtId="172" fontId="5" fillId="0" borderId="10" xfId="43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4" fillId="0" borderId="10" xfId="65" applyFont="1" applyFill="1" applyBorder="1" applyAlignment="1">
      <alignment horizontal="center" vertical="center" wrapText="1"/>
      <protection/>
    </xf>
    <xf numFmtId="172" fontId="4" fillId="0" borderId="10" xfId="43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/>
    </xf>
    <xf numFmtId="172" fontId="4" fillId="0" borderId="10" xfId="43" applyNumberFormat="1" applyFont="1" applyFill="1" applyBorder="1" applyAlignment="1">
      <alignment horizontal="center" vertical="center" wrapText="1"/>
    </xf>
    <xf numFmtId="176" fontId="4" fillId="0" borderId="10" xfId="43" applyNumberFormat="1" applyFont="1" applyFill="1" applyBorder="1" applyAlignment="1">
      <alignment vertical="center"/>
    </xf>
    <xf numFmtId="176" fontId="4" fillId="0" borderId="10" xfId="43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176" fontId="5" fillId="0" borderId="10" xfId="43" applyNumberFormat="1" applyFont="1" applyFill="1" applyBorder="1" applyAlignment="1">
      <alignment vertical="center"/>
    </xf>
    <xf numFmtId="176" fontId="5" fillId="0" borderId="10" xfId="43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left" vertical="center" wrapText="1"/>
    </xf>
    <xf numFmtId="174" fontId="5" fillId="0" borderId="10" xfId="45" applyNumberFormat="1" applyFont="1" applyFill="1" applyBorder="1" applyAlignment="1">
      <alignment horizontal="center" vertical="center" wrapText="1"/>
    </xf>
    <xf numFmtId="175" fontId="5" fillId="0" borderId="10" xfId="43" applyNumberFormat="1" applyFont="1" applyFill="1" applyBorder="1" applyAlignment="1">
      <alignment horizontal="center" vertical="center" wrapText="1"/>
    </xf>
    <xf numFmtId="172" fontId="5" fillId="0" borderId="10" xfId="43" applyNumberFormat="1" applyFont="1" applyFill="1" applyBorder="1" applyAlignment="1">
      <alignment vertical="center" wrapText="1"/>
    </xf>
    <xf numFmtId="0" fontId="5" fillId="0" borderId="10" xfId="73" applyFont="1" applyFill="1" applyBorder="1" applyAlignment="1">
      <alignment horizontal="left" vertical="center" wrapText="1"/>
      <protection/>
    </xf>
    <xf numFmtId="0" fontId="5" fillId="0" borderId="10" xfId="68" applyFont="1" applyFill="1" applyBorder="1" applyAlignment="1">
      <alignment horizontal="center" vertical="center" wrapText="1"/>
      <protection/>
    </xf>
    <xf numFmtId="0" fontId="5" fillId="0" borderId="10" xfId="74" applyFont="1" applyFill="1" applyBorder="1" applyAlignment="1">
      <alignment horizontal="left" vertical="center" wrapText="1"/>
      <protection/>
    </xf>
    <xf numFmtId="172" fontId="5" fillId="0" borderId="10" xfId="43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3" xfId="40"/>
    <cellStyle name="Calculation" xfId="41"/>
    <cellStyle name="Check Cell" xfId="42"/>
    <cellStyle name="Comma" xfId="43"/>
    <cellStyle name="Comma [0]" xfId="44"/>
    <cellStyle name="Comma 10 2" xfId="45"/>
    <cellStyle name="Comma 10 2 2" xfId="46"/>
    <cellStyle name="Comma 2" xfId="47"/>
    <cellStyle name="Comma 2 2" xfId="48"/>
    <cellStyle name="Comma 20" xfId="49"/>
    <cellStyle name="Comma 3" xfId="50"/>
    <cellStyle name="Comma 4" xfId="51"/>
    <cellStyle name="Comma 8" xfId="52"/>
    <cellStyle name="Currency" xfId="53"/>
    <cellStyle name="Currency [0]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13" xfId="64"/>
    <cellStyle name="Normal 17" xfId="65"/>
    <cellStyle name="Normal 2" xfId="66"/>
    <cellStyle name="Normal 2 2" xfId="67"/>
    <cellStyle name="Normal 2 2_BIEU 5 NTM 2017" xfId="68"/>
    <cellStyle name="Normal 2 4" xfId="69"/>
    <cellStyle name="Normal 38" xfId="70"/>
    <cellStyle name="Normal 39 3" xfId="71"/>
    <cellStyle name="Normal 4 2" xfId="72"/>
    <cellStyle name="Normal 41_BIEU 5 NTM 2017" xfId="73"/>
    <cellStyle name="Normal 5" xfId="74"/>
    <cellStyle name="Note" xfId="75"/>
    <cellStyle name="Output" xfId="76"/>
    <cellStyle name="Percent" xfId="77"/>
    <cellStyle name="Percent 2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7</xdr:row>
      <xdr:rowOff>0</xdr:rowOff>
    </xdr:from>
    <xdr:ext cx="381000" cy="38100"/>
    <xdr:sp>
      <xdr:nvSpPr>
        <xdr:cNvPr id="1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38100"/>
    <xdr:sp>
      <xdr:nvSpPr>
        <xdr:cNvPr id="2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38100"/>
    <xdr:sp>
      <xdr:nvSpPr>
        <xdr:cNvPr id="3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38100"/>
    <xdr:sp>
      <xdr:nvSpPr>
        <xdr:cNvPr id="4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38100"/>
    <xdr:sp>
      <xdr:nvSpPr>
        <xdr:cNvPr id="5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38100"/>
    <xdr:sp>
      <xdr:nvSpPr>
        <xdr:cNvPr id="6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7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8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9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0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1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2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3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4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5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38100"/>
    <xdr:sp>
      <xdr:nvSpPr>
        <xdr:cNvPr id="16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38100"/>
    <xdr:sp>
      <xdr:nvSpPr>
        <xdr:cNvPr id="17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38100"/>
    <xdr:sp>
      <xdr:nvSpPr>
        <xdr:cNvPr id="18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38100"/>
    <xdr:sp>
      <xdr:nvSpPr>
        <xdr:cNvPr id="19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38100"/>
    <xdr:sp>
      <xdr:nvSpPr>
        <xdr:cNvPr id="20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38100"/>
    <xdr:sp>
      <xdr:nvSpPr>
        <xdr:cNvPr id="21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38100"/>
    <xdr:sp>
      <xdr:nvSpPr>
        <xdr:cNvPr id="22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38100"/>
    <xdr:sp>
      <xdr:nvSpPr>
        <xdr:cNvPr id="23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38100"/>
    <xdr:sp>
      <xdr:nvSpPr>
        <xdr:cNvPr id="24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38100"/>
    <xdr:sp>
      <xdr:nvSpPr>
        <xdr:cNvPr id="25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38100"/>
    <xdr:sp>
      <xdr:nvSpPr>
        <xdr:cNvPr id="26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38100"/>
    <xdr:sp>
      <xdr:nvSpPr>
        <xdr:cNvPr id="27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28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29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30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31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32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33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34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35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36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37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38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39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40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41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42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43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44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45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47625"/>
    <xdr:sp>
      <xdr:nvSpPr>
        <xdr:cNvPr id="46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47625"/>
    <xdr:sp>
      <xdr:nvSpPr>
        <xdr:cNvPr id="47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47625"/>
    <xdr:sp>
      <xdr:nvSpPr>
        <xdr:cNvPr id="48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47625"/>
    <xdr:sp>
      <xdr:nvSpPr>
        <xdr:cNvPr id="49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47625"/>
    <xdr:sp>
      <xdr:nvSpPr>
        <xdr:cNvPr id="50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47625"/>
    <xdr:sp>
      <xdr:nvSpPr>
        <xdr:cNvPr id="51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47625"/>
    <xdr:sp>
      <xdr:nvSpPr>
        <xdr:cNvPr id="52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47625"/>
    <xdr:sp>
      <xdr:nvSpPr>
        <xdr:cNvPr id="53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47625"/>
    <xdr:sp>
      <xdr:nvSpPr>
        <xdr:cNvPr id="54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47625"/>
    <xdr:sp>
      <xdr:nvSpPr>
        <xdr:cNvPr id="55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47625"/>
    <xdr:sp>
      <xdr:nvSpPr>
        <xdr:cNvPr id="56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47625"/>
    <xdr:sp>
      <xdr:nvSpPr>
        <xdr:cNvPr id="57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47625"/>
    <xdr:sp>
      <xdr:nvSpPr>
        <xdr:cNvPr id="58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47625"/>
    <xdr:sp>
      <xdr:nvSpPr>
        <xdr:cNvPr id="59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47625"/>
    <xdr:sp>
      <xdr:nvSpPr>
        <xdr:cNvPr id="60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47625"/>
    <xdr:sp>
      <xdr:nvSpPr>
        <xdr:cNvPr id="61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47625"/>
    <xdr:sp>
      <xdr:nvSpPr>
        <xdr:cNvPr id="62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47625"/>
    <xdr:sp>
      <xdr:nvSpPr>
        <xdr:cNvPr id="63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47625"/>
    <xdr:sp>
      <xdr:nvSpPr>
        <xdr:cNvPr id="64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47625"/>
    <xdr:sp>
      <xdr:nvSpPr>
        <xdr:cNvPr id="65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47625"/>
    <xdr:sp>
      <xdr:nvSpPr>
        <xdr:cNvPr id="66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47625"/>
    <xdr:sp>
      <xdr:nvSpPr>
        <xdr:cNvPr id="67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47625"/>
    <xdr:sp>
      <xdr:nvSpPr>
        <xdr:cNvPr id="68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47625"/>
    <xdr:sp>
      <xdr:nvSpPr>
        <xdr:cNvPr id="69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70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71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72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73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74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75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76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77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78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79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80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81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82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83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84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85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86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87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88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89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90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91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92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93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94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95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96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97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98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99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00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01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02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03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04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05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06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07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08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09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10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11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12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13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14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15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16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17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38100"/>
    <xdr:sp>
      <xdr:nvSpPr>
        <xdr:cNvPr id="118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38100"/>
    <xdr:sp>
      <xdr:nvSpPr>
        <xdr:cNvPr id="119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20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21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22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23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38100"/>
    <xdr:sp>
      <xdr:nvSpPr>
        <xdr:cNvPr id="124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38100"/>
    <xdr:sp>
      <xdr:nvSpPr>
        <xdr:cNvPr id="125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26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27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28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29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30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31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32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33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34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35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36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37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38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39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40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41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42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43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44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45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46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47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48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49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50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51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52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53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54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55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56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57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58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59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60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61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62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63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64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65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66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67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68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69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70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71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72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73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74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75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76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77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78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79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80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81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82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83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84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85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86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87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88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89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90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91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92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93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94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95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96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97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98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199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200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201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202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203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204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205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206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207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208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209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210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0" cy="28575"/>
    <xdr:sp>
      <xdr:nvSpPr>
        <xdr:cNvPr id="211" name="HipChallengeImage" descr="Picture showing 8 characters."/>
        <xdr:cNvSpPr>
          <a:spLocks noChangeAspect="1"/>
        </xdr:cNvSpPr>
      </xdr:nvSpPr>
      <xdr:spPr>
        <a:xfrm>
          <a:off x="381000" y="30194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38100"/>
    <xdr:sp>
      <xdr:nvSpPr>
        <xdr:cNvPr id="212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38100"/>
    <xdr:sp>
      <xdr:nvSpPr>
        <xdr:cNvPr id="213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38100"/>
    <xdr:sp>
      <xdr:nvSpPr>
        <xdr:cNvPr id="214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0" cy="38100"/>
    <xdr:sp>
      <xdr:nvSpPr>
        <xdr:cNvPr id="215" name="HipChallengeImage" descr="Picture showing 8 characters."/>
        <xdr:cNvSpPr>
          <a:spLocks noChangeAspect="1"/>
        </xdr:cNvSpPr>
      </xdr:nvSpPr>
      <xdr:spPr>
        <a:xfrm>
          <a:off x="381000" y="27527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16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17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18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19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20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21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22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23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24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25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26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27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28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29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30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31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32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33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34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35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36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37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38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39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40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41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42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43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44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45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46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47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48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49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50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51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52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53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54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55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56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57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58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59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60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61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0" cy="38100"/>
    <xdr:sp>
      <xdr:nvSpPr>
        <xdr:cNvPr id="262" name="HipChallengeImage" descr="Picture showing 8 characters."/>
        <xdr:cNvSpPr>
          <a:spLocks noChangeAspect="1"/>
        </xdr:cNvSpPr>
      </xdr:nvSpPr>
      <xdr:spPr>
        <a:xfrm>
          <a:off x="381000" y="374332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0</xdr:col>
      <xdr:colOff>76200</xdr:colOff>
      <xdr:row>13</xdr:row>
      <xdr:rowOff>104775</xdr:rowOff>
    </xdr:from>
    <xdr:ext cx="371475" cy="38100"/>
    <xdr:sp>
      <xdr:nvSpPr>
        <xdr:cNvPr id="263" name="HipChallengeImage" descr="Picture showing 8 characters."/>
        <xdr:cNvSpPr>
          <a:spLocks noChangeAspect="1"/>
        </xdr:cNvSpPr>
      </xdr:nvSpPr>
      <xdr:spPr>
        <a:xfrm>
          <a:off x="76200" y="4933950"/>
          <a:ext cx="3714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0</xdr:col>
      <xdr:colOff>38100</xdr:colOff>
      <xdr:row>13</xdr:row>
      <xdr:rowOff>276225</xdr:rowOff>
    </xdr:from>
    <xdr:ext cx="381000" cy="38100"/>
    <xdr:sp>
      <xdr:nvSpPr>
        <xdr:cNvPr id="264" name="HipChallengeImage" descr="Picture showing 8 characters."/>
        <xdr:cNvSpPr>
          <a:spLocks noChangeAspect="1"/>
        </xdr:cNvSpPr>
      </xdr:nvSpPr>
      <xdr:spPr>
        <a:xfrm>
          <a:off x="38100" y="5105400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265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266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267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268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269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270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271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272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273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274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275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276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277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278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279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280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281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282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283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284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285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286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287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288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289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290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291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292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293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294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295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296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297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298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299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00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01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02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03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04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05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06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07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08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09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10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11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12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13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14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15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16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17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18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19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20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21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22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23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24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25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26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27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28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29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30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31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32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33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34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35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36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37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38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39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40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41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42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43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44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45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46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47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48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49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50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51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52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53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0" cy="28575"/>
    <xdr:sp>
      <xdr:nvSpPr>
        <xdr:cNvPr id="354" name="HipChallengeImage" descr="Picture showing 8 characters."/>
        <xdr:cNvSpPr>
          <a:spLocks noChangeAspect="1"/>
        </xdr:cNvSpPr>
      </xdr:nvSpPr>
      <xdr:spPr>
        <a:xfrm>
          <a:off x="381000" y="872490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55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56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57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58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59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60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61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62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63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64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65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66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67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68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69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70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71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72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73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74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75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76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77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78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79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80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81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82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83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84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85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86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87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88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89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90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91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92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93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94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95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96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97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98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0" cy="28575"/>
    <xdr:sp>
      <xdr:nvSpPr>
        <xdr:cNvPr id="399" name="HipChallengeImage" descr="Picture showing 8 characters."/>
        <xdr:cNvSpPr>
          <a:spLocks noChangeAspect="1"/>
        </xdr:cNvSpPr>
      </xdr:nvSpPr>
      <xdr:spPr>
        <a:xfrm>
          <a:off x="381000" y="10915650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00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01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02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03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04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05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06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07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08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09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10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11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12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13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14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15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16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17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18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19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20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21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22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23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24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25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26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27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28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29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30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31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32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33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34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35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36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37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38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39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40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41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42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43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44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45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46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47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48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49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50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51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52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53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54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55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56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57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58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59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60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61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62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63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64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65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66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67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68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69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70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71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72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73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74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75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76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77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78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79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80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81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82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83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84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85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86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87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88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89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90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91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92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93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94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95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96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97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98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499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00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01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02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03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04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05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06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07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08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09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10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11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12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13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14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15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16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17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18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19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20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21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22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23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24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25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26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27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28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29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30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31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32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33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34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35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36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37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38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39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40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41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42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43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44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45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46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47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48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49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50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51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52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53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54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55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56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57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58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59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60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61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62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63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64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65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66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67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68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69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70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71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72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73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74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75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76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77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78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79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80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81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82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83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84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85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86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87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88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89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90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91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92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93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94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95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96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97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98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599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00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01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02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03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04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05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06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07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08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09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10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11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12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13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14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15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16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17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18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19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20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21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22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23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24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25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26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27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28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29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30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31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32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33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34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35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36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37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38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39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40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41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42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43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44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45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46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47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48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49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50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51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52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53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54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55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56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57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58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59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60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61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62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63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64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65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66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67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68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69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70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71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72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73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74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75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76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77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78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79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80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81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82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83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84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85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86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87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88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89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90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91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92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93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94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95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96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97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98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699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00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01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02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03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04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05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06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07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08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09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10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11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12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13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14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15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16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17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18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19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20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21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22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23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24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25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26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27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28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29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30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31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32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33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34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35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36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37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38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39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40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41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42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43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44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45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0" cy="38100"/>
    <xdr:sp>
      <xdr:nvSpPr>
        <xdr:cNvPr id="746" name="HipChallengeImage" descr="Picture showing 8 characters."/>
        <xdr:cNvSpPr>
          <a:spLocks noChangeAspect="1"/>
        </xdr:cNvSpPr>
      </xdr:nvSpPr>
      <xdr:spPr>
        <a:xfrm>
          <a:off x="381000" y="11268075"/>
          <a:ext cx="381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82"/>
  <sheetViews>
    <sheetView tabSelected="1" zoomScalePageLayoutView="0" workbookViewId="0" topLeftCell="A1">
      <selection activeCell="C4" sqref="C4:C6"/>
    </sheetView>
  </sheetViews>
  <sheetFormatPr defaultColWidth="8.796875" defaultRowHeight="15"/>
  <cols>
    <col min="1" max="1" width="4" style="4" customWidth="1"/>
    <col min="2" max="2" width="41.8984375" style="3" customWidth="1"/>
    <col min="3" max="3" width="8.5" style="3" customWidth="1"/>
    <col min="4" max="4" width="7.59765625" style="3" customWidth="1"/>
    <col min="5" max="5" width="7.3984375" style="3" hidden="1" customWidth="1"/>
    <col min="6" max="6" width="7.09765625" style="3" customWidth="1"/>
    <col min="7" max="7" width="9.09765625" style="3" customWidth="1"/>
    <col min="8" max="8" width="11.19921875" style="3" customWidth="1"/>
    <col min="9" max="9" width="10.8984375" style="3" customWidth="1"/>
    <col min="10" max="10" width="10.3984375" style="3" customWidth="1"/>
    <col min="11" max="11" width="9.3984375" style="3" hidden="1" customWidth="1"/>
    <col min="12" max="12" width="10.5" style="3" hidden="1" customWidth="1"/>
    <col min="13" max="13" width="9.5" style="3" hidden="1" customWidth="1"/>
    <col min="14" max="14" width="7.19921875" style="3" hidden="1" customWidth="1"/>
    <col min="15" max="15" width="10.09765625" style="7" customWidth="1"/>
    <col min="16" max="16" width="9.19921875" style="7" customWidth="1"/>
    <col min="17" max="17" width="9.3984375" style="7" customWidth="1"/>
    <col min="18" max="18" width="10.3984375" style="8" customWidth="1"/>
    <col min="19" max="19" width="10.09765625" style="8" customWidth="1"/>
    <col min="20" max="21" width="9.8984375" style="8" customWidth="1"/>
    <col min="22" max="22" width="7.09765625" style="3" customWidth="1"/>
    <col min="23" max="16384" width="9" style="3" customWidth="1"/>
  </cols>
  <sheetData>
    <row r="1" spans="1:22" s="11" customFormat="1" ht="20.25" customHeight="1">
      <c r="A1" s="22" t="s">
        <v>114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s="11" customFormat="1" ht="15.75" customHeight="1">
      <c r="A2" s="23" t="s">
        <v>193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8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25" t="s">
        <v>148</v>
      </c>
      <c r="N3" s="25"/>
      <c r="O3" s="25"/>
      <c r="P3" s="25"/>
      <c r="Q3" s="25"/>
      <c r="R3" s="25"/>
      <c r="S3" s="25"/>
      <c r="T3" s="25"/>
      <c r="U3" s="25"/>
      <c r="V3" s="25"/>
    </row>
    <row r="4" spans="1:22" ht="24.75" customHeight="1">
      <c r="A4" s="21" t="s">
        <v>0</v>
      </c>
      <c r="B4" s="21" t="s">
        <v>58</v>
      </c>
      <c r="C4" s="21" t="s">
        <v>39</v>
      </c>
      <c r="D4" s="21" t="s">
        <v>40</v>
      </c>
      <c r="E4" s="21" t="s">
        <v>41</v>
      </c>
      <c r="F4" s="21" t="s">
        <v>59</v>
      </c>
      <c r="G4" s="24" t="s">
        <v>60</v>
      </c>
      <c r="H4" s="24"/>
      <c r="I4" s="24"/>
      <c r="J4" s="21" t="s">
        <v>61</v>
      </c>
      <c r="K4" s="21" t="s">
        <v>42</v>
      </c>
      <c r="L4" s="21" t="s">
        <v>43</v>
      </c>
      <c r="M4" s="21" t="s">
        <v>44</v>
      </c>
      <c r="N4" s="2" t="s">
        <v>47</v>
      </c>
      <c r="O4" s="21" t="s">
        <v>62</v>
      </c>
      <c r="P4" s="21"/>
      <c r="Q4" s="21" t="s">
        <v>140</v>
      </c>
      <c r="R4" s="21"/>
      <c r="S4" s="21"/>
      <c r="T4" s="21"/>
      <c r="U4" s="21"/>
      <c r="V4" s="21" t="s">
        <v>45</v>
      </c>
    </row>
    <row r="5" spans="1:22" ht="15.75" customHeight="1">
      <c r="A5" s="21"/>
      <c r="B5" s="21"/>
      <c r="C5" s="21"/>
      <c r="D5" s="21"/>
      <c r="E5" s="21"/>
      <c r="F5" s="21"/>
      <c r="G5" s="21" t="s">
        <v>161</v>
      </c>
      <c r="H5" s="21" t="s">
        <v>46</v>
      </c>
      <c r="I5" s="21" t="s">
        <v>105</v>
      </c>
      <c r="J5" s="21"/>
      <c r="K5" s="21"/>
      <c r="L5" s="21"/>
      <c r="M5" s="21"/>
      <c r="N5" s="2"/>
      <c r="O5" s="21" t="s">
        <v>106</v>
      </c>
      <c r="P5" s="21" t="s">
        <v>63</v>
      </c>
      <c r="Q5" s="21" t="s">
        <v>64</v>
      </c>
      <c r="R5" s="21" t="s">
        <v>65</v>
      </c>
      <c r="S5" s="21"/>
      <c r="T5" s="21"/>
      <c r="U5" s="21"/>
      <c r="V5" s="21"/>
    </row>
    <row r="6" spans="1:24" ht="102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"/>
      <c r="O6" s="21"/>
      <c r="P6" s="21"/>
      <c r="Q6" s="21"/>
      <c r="R6" s="1" t="s">
        <v>133</v>
      </c>
      <c r="S6" s="1" t="s">
        <v>66</v>
      </c>
      <c r="T6" s="1" t="s">
        <v>107</v>
      </c>
      <c r="U6" s="1" t="s">
        <v>108</v>
      </c>
      <c r="V6" s="21"/>
      <c r="X6" s="66"/>
    </row>
    <row r="7" spans="1:26" ht="18.75" customHeight="1">
      <c r="A7" s="26"/>
      <c r="B7" s="27" t="s">
        <v>57</v>
      </c>
      <c r="C7" s="26"/>
      <c r="D7" s="26"/>
      <c r="E7" s="26"/>
      <c r="F7" s="26"/>
      <c r="G7" s="26"/>
      <c r="H7" s="28">
        <f aca="true" t="shared" si="0" ref="H7:U7">H8+H17+H32+H43+H44+H49+H51</f>
        <v>140976.61800000002</v>
      </c>
      <c r="I7" s="28">
        <f t="shared" si="0"/>
        <v>80296.965</v>
      </c>
      <c r="J7" s="28">
        <f t="shared" si="0"/>
        <v>49561.55407599999</v>
      </c>
      <c r="K7" s="28">
        <f t="shared" si="0"/>
        <v>16286.796</v>
      </c>
      <c r="L7" s="28">
        <f t="shared" si="0"/>
        <v>1018682.545421</v>
      </c>
      <c r="M7" s="28">
        <f t="shared" si="0"/>
        <v>2178.8226550000004</v>
      </c>
      <c r="N7" s="28">
        <f t="shared" si="0"/>
        <v>0</v>
      </c>
      <c r="O7" s="28">
        <f t="shared" si="0"/>
        <v>48201.32692399999</v>
      </c>
      <c r="P7" s="28">
        <f t="shared" si="0"/>
        <v>2107.9259999999995</v>
      </c>
      <c r="Q7" s="28">
        <f t="shared" si="0"/>
        <v>36902</v>
      </c>
      <c r="R7" s="28">
        <f t="shared" si="0"/>
        <v>1000</v>
      </c>
      <c r="S7" s="28">
        <f t="shared" si="0"/>
        <v>2000</v>
      </c>
      <c r="T7" s="28">
        <f t="shared" si="0"/>
        <v>13902</v>
      </c>
      <c r="U7" s="28">
        <f t="shared" si="0"/>
        <v>20000</v>
      </c>
      <c r="V7" s="26"/>
      <c r="W7" s="12">
        <f>U7-20000</f>
        <v>0</v>
      </c>
      <c r="Z7" s="12"/>
    </row>
    <row r="8" spans="1:22" s="14" customFormat="1" ht="21" customHeight="1">
      <c r="A8" s="29" t="s">
        <v>55</v>
      </c>
      <c r="B8" s="67" t="s">
        <v>150</v>
      </c>
      <c r="C8" s="30"/>
      <c r="D8" s="30"/>
      <c r="E8" s="2"/>
      <c r="F8" s="1"/>
      <c r="G8" s="1"/>
      <c r="H8" s="31">
        <f aca="true" t="shared" si="1" ref="H8:U8">SUM(H9:H16)</f>
        <v>16158.898</v>
      </c>
      <c r="I8" s="31">
        <f t="shared" si="1"/>
        <v>10415.363</v>
      </c>
      <c r="J8" s="31">
        <f t="shared" si="1"/>
        <v>12798.137</v>
      </c>
      <c r="K8" s="31">
        <f t="shared" si="1"/>
        <v>8725.896</v>
      </c>
      <c r="L8" s="31">
        <f t="shared" si="1"/>
        <v>1007401.442</v>
      </c>
      <c r="M8" s="31">
        <f t="shared" si="1"/>
        <v>0</v>
      </c>
      <c r="N8" s="31">
        <f t="shared" si="1"/>
        <v>0</v>
      </c>
      <c r="O8" s="31">
        <f t="shared" si="1"/>
        <v>2607.9259999999995</v>
      </c>
      <c r="P8" s="31">
        <f t="shared" si="1"/>
        <v>2107.9259999999995</v>
      </c>
      <c r="Q8" s="31">
        <f t="shared" si="1"/>
        <v>2564</v>
      </c>
      <c r="R8" s="31">
        <f t="shared" si="1"/>
        <v>0</v>
      </c>
      <c r="S8" s="31">
        <f t="shared" si="1"/>
        <v>0</v>
      </c>
      <c r="T8" s="31">
        <f t="shared" si="1"/>
        <v>620</v>
      </c>
      <c r="U8" s="31">
        <f t="shared" si="1"/>
        <v>1944</v>
      </c>
      <c r="V8" s="32"/>
    </row>
    <row r="9" spans="1:22" s="5" customFormat="1" ht="29.25" customHeight="1">
      <c r="A9" s="33">
        <v>1</v>
      </c>
      <c r="B9" s="34" t="s">
        <v>1</v>
      </c>
      <c r="C9" s="35" t="s">
        <v>2</v>
      </c>
      <c r="D9" s="35" t="s">
        <v>3</v>
      </c>
      <c r="E9" s="35" t="s">
        <v>4</v>
      </c>
      <c r="F9" s="36">
        <v>2016</v>
      </c>
      <c r="G9" s="36" t="s">
        <v>115</v>
      </c>
      <c r="H9" s="37">
        <v>1441.324</v>
      </c>
      <c r="I9" s="37">
        <v>1424.86</v>
      </c>
      <c r="J9" s="37">
        <f>384.604+500+284.833</f>
        <v>1169.4370000000001</v>
      </c>
      <c r="K9" s="37">
        <v>1424.86</v>
      </c>
      <c r="L9" s="37">
        <f>384.604+500+284.838</f>
        <v>1169.442</v>
      </c>
      <c r="M9" s="37">
        <v>0</v>
      </c>
      <c r="N9" s="37"/>
      <c r="O9" s="37">
        <f aca="true" t="shared" si="2" ref="O9:O14">I9-J9</f>
        <v>255.42299999999977</v>
      </c>
      <c r="P9" s="37">
        <f aca="true" t="shared" si="3" ref="P9:P15">O9</f>
        <v>255.42299999999977</v>
      </c>
      <c r="Q9" s="37">
        <f aca="true" t="shared" si="4" ref="Q9:Q16">R9+S9+T9+U9</f>
        <v>250</v>
      </c>
      <c r="R9" s="37"/>
      <c r="S9" s="37"/>
      <c r="T9" s="37"/>
      <c r="U9" s="37">
        <v>250</v>
      </c>
      <c r="V9" s="38"/>
    </row>
    <row r="10" spans="1:22" s="5" customFormat="1" ht="27.75" customHeight="1">
      <c r="A10" s="33">
        <v>2</v>
      </c>
      <c r="B10" s="34" t="s">
        <v>5</v>
      </c>
      <c r="C10" s="35" t="s">
        <v>2</v>
      </c>
      <c r="D10" s="36" t="s">
        <v>6</v>
      </c>
      <c r="E10" s="39" t="s">
        <v>7</v>
      </c>
      <c r="F10" s="36">
        <v>2016</v>
      </c>
      <c r="G10" s="36" t="s">
        <v>162</v>
      </c>
      <c r="H10" s="37">
        <v>1967</v>
      </c>
      <c r="I10" s="37">
        <v>1967</v>
      </c>
      <c r="J10" s="37">
        <f>520+612+600+150</f>
        <v>1882</v>
      </c>
      <c r="K10" s="37">
        <v>1951.036</v>
      </c>
      <c r="L10" s="37">
        <f>520+612+600+150</f>
        <v>1882</v>
      </c>
      <c r="M10" s="37">
        <v>0</v>
      </c>
      <c r="N10" s="37"/>
      <c r="O10" s="37">
        <f t="shared" si="2"/>
        <v>85</v>
      </c>
      <c r="P10" s="37">
        <f t="shared" si="3"/>
        <v>85</v>
      </c>
      <c r="Q10" s="37">
        <f t="shared" si="4"/>
        <v>80</v>
      </c>
      <c r="R10" s="37"/>
      <c r="S10" s="37"/>
      <c r="T10" s="37">
        <v>80</v>
      </c>
      <c r="U10" s="37"/>
      <c r="V10" s="38"/>
    </row>
    <row r="11" spans="1:22" s="5" customFormat="1" ht="29.25" customHeight="1">
      <c r="A11" s="33">
        <v>3</v>
      </c>
      <c r="B11" s="34" t="s">
        <v>8</v>
      </c>
      <c r="C11" s="36" t="s">
        <v>2</v>
      </c>
      <c r="D11" s="36" t="s">
        <v>9</v>
      </c>
      <c r="E11" s="36" t="s">
        <v>10</v>
      </c>
      <c r="F11" s="36">
        <v>2017</v>
      </c>
      <c r="G11" s="36" t="s">
        <v>163</v>
      </c>
      <c r="H11" s="37">
        <v>1664.9</v>
      </c>
      <c r="I11" s="37">
        <f>H11-49.541</f>
        <v>1615.3590000000002</v>
      </c>
      <c r="J11" s="37">
        <f>800+300+450</f>
        <v>1550</v>
      </c>
      <c r="K11" s="37">
        <f>800+300+450</f>
        <v>1550</v>
      </c>
      <c r="L11" s="37">
        <f>800+300+450</f>
        <v>1550</v>
      </c>
      <c r="M11" s="37">
        <f>J11-L11</f>
        <v>0</v>
      </c>
      <c r="N11" s="37"/>
      <c r="O11" s="37">
        <f t="shared" si="2"/>
        <v>65.35900000000015</v>
      </c>
      <c r="P11" s="37">
        <f t="shared" si="3"/>
        <v>65.35900000000015</v>
      </c>
      <c r="Q11" s="37">
        <f t="shared" si="4"/>
        <v>60</v>
      </c>
      <c r="R11" s="37"/>
      <c r="S11" s="37"/>
      <c r="T11" s="37"/>
      <c r="U11" s="37">
        <v>60</v>
      </c>
      <c r="V11" s="38"/>
    </row>
    <row r="12" spans="1:22" s="5" customFormat="1" ht="27" customHeight="1">
      <c r="A12" s="33">
        <v>4</v>
      </c>
      <c r="B12" s="34" t="s">
        <v>11</v>
      </c>
      <c r="C12" s="36" t="s">
        <v>2</v>
      </c>
      <c r="D12" s="36" t="s">
        <v>12</v>
      </c>
      <c r="E12" s="36" t="s">
        <v>13</v>
      </c>
      <c r="F12" s="36">
        <v>2017</v>
      </c>
      <c r="G12" s="36" t="s">
        <v>116</v>
      </c>
      <c r="H12" s="37">
        <v>2794.7</v>
      </c>
      <c r="I12" s="37">
        <f>H12-246.88</f>
        <v>2547.8199999999997</v>
      </c>
      <c r="J12" s="37">
        <f>1100+400+800</f>
        <v>2300</v>
      </c>
      <c r="K12" s="37">
        <f>1100+400+800</f>
        <v>2300</v>
      </c>
      <c r="L12" s="37">
        <f>1100+400+800</f>
        <v>2300</v>
      </c>
      <c r="M12" s="37">
        <v>0</v>
      </c>
      <c r="N12" s="37"/>
      <c r="O12" s="37">
        <f t="shared" si="2"/>
        <v>247.8199999999997</v>
      </c>
      <c r="P12" s="37">
        <f t="shared" si="3"/>
        <v>247.8199999999997</v>
      </c>
      <c r="Q12" s="37">
        <f t="shared" si="4"/>
        <v>240</v>
      </c>
      <c r="R12" s="37"/>
      <c r="S12" s="37"/>
      <c r="T12" s="37"/>
      <c r="U12" s="37">
        <v>240</v>
      </c>
      <c r="V12" s="38"/>
    </row>
    <row r="13" spans="1:22" s="5" customFormat="1" ht="29.25" customHeight="1">
      <c r="A13" s="33">
        <v>5</v>
      </c>
      <c r="B13" s="34" t="s">
        <v>149</v>
      </c>
      <c r="C13" s="36" t="s">
        <v>2</v>
      </c>
      <c r="D13" s="36" t="s">
        <v>6</v>
      </c>
      <c r="E13" s="36" t="s">
        <v>14</v>
      </c>
      <c r="F13" s="36">
        <v>2017</v>
      </c>
      <c r="G13" s="36" t="s">
        <v>117</v>
      </c>
      <c r="H13" s="37">
        <v>2480.394</v>
      </c>
      <c r="I13" s="37">
        <f>H13-266.91</f>
        <v>2213.484</v>
      </c>
      <c r="J13" s="37">
        <f>500+500</f>
        <v>1000</v>
      </c>
      <c r="K13" s="37">
        <v>1000</v>
      </c>
      <c r="L13" s="37">
        <v>1000000</v>
      </c>
      <c r="M13" s="37">
        <v>0</v>
      </c>
      <c r="N13" s="37"/>
      <c r="O13" s="37">
        <f t="shared" si="2"/>
        <v>1213.484</v>
      </c>
      <c r="P13" s="37">
        <f t="shared" si="3"/>
        <v>1213.484</v>
      </c>
      <c r="Q13" s="37">
        <f t="shared" si="4"/>
        <v>1200</v>
      </c>
      <c r="R13" s="37"/>
      <c r="S13" s="37"/>
      <c r="T13" s="37">
        <v>400</v>
      </c>
      <c r="U13" s="37">
        <v>800</v>
      </c>
      <c r="V13" s="38"/>
    </row>
    <row r="14" spans="1:22" s="5" customFormat="1" ht="29.25" customHeight="1">
      <c r="A14" s="33">
        <v>6</v>
      </c>
      <c r="B14" s="34" t="s">
        <v>15</v>
      </c>
      <c r="C14" s="36" t="s">
        <v>2</v>
      </c>
      <c r="D14" s="36" t="s">
        <v>3</v>
      </c>
      <c r="E14" s="36" t="s">
        <v>16</v>
      </c>
      <c r="F14" s="36">
        <v>2017</v>
      </c>
      <c r="G14" s="36" t="s">
        <v>118</v>
      </c>
      <c r="H14" s="37">
        <v>650</v>
      </c>
      <c r="I14" s="37">
        <v>646.84</v>
      </c>
      <c r="J14" s="37">
        <v>500</v>
      </c>
      <c r="K14" s="37">
        <v>500</v>
      </c>
      <c r="L14" s="37">
        <v>500</v>
      </c>
      <c r="M14" s="37">
        <f>J14-L14</f>
        <v>0</v>
      </c>
      <c r="N14" s="37"/>
      <c r="O14" s="37">
        <f t="shared" si="2"/>
        <v>146.84000000000003</v>
      </c>
      <c r="P14" s="37">
        <f t="shared" si="3"/>
        <v>146.84000000000003</v>
      </c>
      <c r="Q14" s="37">
        <f t="shared" si="4"/>
        <v>140</v>
      </c>
      <c r="R14" s="37"/>
      <c r="S14" s="37"/>
      <c r="T14" s="37">
        <v>140</v>
      </c>
      <c r="U14" s="37"/>
      <c r="V14" s="38"/>
    </row>
    <row r="15" spans="1:22" s="5" customFormat="1" ht="29.25" customHeight="1">
      <c r="A15" s="33">
        <v>7</v>
      </c>
      <c r="B15" s="34" t="s">
        <v>134</v>
      </c>
      <c r="C15" s="36" t="s">
        <v>2</v>
      </c>
      <c r="D15" s="36" t="s">
        <v>3</v>
      </c>
      <c r="E15" s="36"/>
      <c r="F15" s="36"/>
      <c r="G15" s="36" t="s">
        <v>135</v>
      </c>
      <c r="H15" s="37">
        <v>2781.18</v>
      </c>
      <c r="I15" s="37"/>
      <c r="J15" s="37">
        <v>2680</v>
      </c>
      <c r="K15" s="37"/>
      <c r="L15" s="37"/>
      <c r="M15" s="37"/>
      <c r="N15" s="37"/>
      <c r="O15" s="37">
        <v>94</v>
      </c>
      <c r="P15" s="37">
        <f t="shared" si="3"/>
        <v>94</v>
      </c>
      <c r="Q15" s="37">
        <f t="shared" si="4"/>
        <v>94</v>
      </c>
      <c r="R15" s="37"/>
      <c r="S15" s="37"/>
      <c r="T15" s="37"/>
      <c r="U15" s="37">
        <v>94</v>
      </c>
      <c r="V15" s="38"/>
    </row>
    <row r="16" spans="1:22" s="6" customFormat="1" ht="27" customHeight="1">
      <c r="A16" s="33">
        <v>8</v>
      </c>
      <c r="B16" s="34" t="s">
        <v>136</v>
      </c>
      <c r="C16" s="40" t="s">
        <v>17</v>
      </c>
      <c r="D16" s="36" t="s">
        <v>48</v>
      </c>
      <c r="E16" s="36"/>
      <c r="F16" s="36">
        <v>2011</v>
      </c>
      <c r="G16" s="36" t="s">
        <v>137</v>
      </c>
      <c r="H16" s="37">
        <v>2379.4</v>
      </c>
      <c r="I16" s="37"/>
      <c r="J16" s="37">
        <f>1216.7+500</f>
        <v>1716.7</v>
      </c>
      <c r="K16" s="37"/>
      <c r="L16" s="37"/>
      <c r="M16" s="37"/>
      <c r="N16" s="37"/>
      <c r="O16" s="37">
        <v>500</v>
      </c>
      <c r="P16" s="37"/>
      <c r="Q16" s="37">
        <f t="shared" si="4"/>
        <v>500</v>
      </c>
      <c r="R16" s="37"/>
      <c r="S16" s="37"/>
      <c r="T16" s="37"/>
      <c r="U16" s="37">
        <v>500</v>
      </c>
      <c r="V16" s="41"/>
    </row>
    <row r="17" spans="1:22" s="15" customFormat="1" ht="20.25" customHeight="1">
      <c r="A17" s="20" t="s">
        <v>56</v>
      </c>
      <c r="B17" s="67" t="s">
        <v>151</v>
      </c>
      <c r="C17" s="38"/>
      <c r="D17" s="38"/>
      <c r="E17" s="38"/>
      <c r="F17" s="38"/>
      <c r="G17" s="36"/>
      <c r="H17" s="42">
        <f aca="true" t="shared" si="5" ref="H17:V17">SUM(H18:H31)</f>
        <v>30509.131000000005</v>
      </c>
      <c r="I17" s="42">
        <f t="shared" si="5"/>
        <v>28494.145</v>
      </c>
      <c r="J17" s="42">
        <f t="shared" si="5"/>
        <v>13459.926076</v>
      </c>
      <c r="K17" s="42">
        <f t="shared" si="5"/>
        <v>7560.9</v>
      </c>
      <c r="L17" s="42">
        <f t="shared" si="5"/>
        <v>11281.103421</v>
      </c>
      <c r="M17" s="42">
        <f t="shared" si="5"/>
        <v>2178.8226550000004</v>
      </c>
      <c r="N17" s="42">
        <f t="shared" si="5"/>
        <v>0</v>
      </c>
      <c r="O17" s="42">
        <f t="shared" si="5"/>
        <v>15881.034923999998</v>
      </c>
      <c r="P17" s="42">
        <f t="shared" si="5"/>
        <v>0</v>
      </c>
      <c r="Q17" s="42">
        <f t="shared" si="5"/>
        <v>15624.8</v>
      </c>
      <c r="R17" s="42">
        <f t="shared" si="5"/>
        <v>0</v>
      </c>
      <c r="S17" s="42">
        <f t="shared" si="5"/>
        <v>0</v>
      </c>
      <c r="T17" s="42">
        <f t="shared" si="5"/>
        <v>11891.8</v>
      </c>
      <c r="U17" s="42">
        <f t="shared" si="5"/>
        <v>3733</v>
      </c>
      <c r="V17" s="42">
        <f t="shared" si="5"/>
        <v>0</v>
      </c>
    </row>
    <row r="18" spans="1:22" s="5" customFormat="1" ht="30" customHeight="1">
      <c r="A18" s="33">
        <v>1</v>
      </c>
      <c r="B18" s="34" t="s">
        <v>18</v>
      </c>
      <c r="C18" s="40" t="s">
        <v>17</v>
      </c>
      <c r="D18" s="36" t="s">
        <v>6</v>
      </c>
      <c r="E18" s="38"/>
      <c r="F18" s="36">
        <v>2017</v>
      </c>
      <c r="G18" s="36" t="s">
        <v>119</v>
      </c>
      <c r="H18" s="37">
        <v>2499.9</v>
      </c>
      <c r="I18" s="37">
        <f>H18</f>
        <v>2499.9</v>
      </c>
      <c r="J18" s="37">
        <v>1000</v>
      </c>
      <c r="K18" s="37">
        <v>1000</v>
      </c>
      <c r="L18" s="37">
        <v>1000</v>
      </c>
      <c r="M18" s="37">
        <f aca="true" t="shared" si="6" ref="M18:M31">J18-L18</f>
        <v>0</v>
      </c>
      <c r="N18" s="37"/>
      <c r="O18" s="37">
        <f aca="true" t="shared" si="7" ref="O18:O28">I18-J18</f>
        <v>1499.9</v>
      </c>
      <c r="P18" s="37"/>
      <c r="Q18" s="37">
        <f aca="true" t="shared" si="8" ref="Q18:Q31">R18+S18+T18+U18</f>
        <v>1490</v>
      </c>
      <c r="R18" s="37"/>
      <c r="S18" s="37"/>
      <c r="T18" s="37">
        <v>1490</v>
      </c>
      <c r="U18" s="37"/>
      <c r="V18" s="38"/>
    </row>
    <row r="19" spans="1:22" s="5" customFormat="1" ht="27" customHeight="1">
      <c r="A19" s="33">
        <v>2</v>
      </c>
      <c r="B19" s="34" t="s">
        <v>19</v>
      </c>
      <c r="C19" s="40" t="s">
        <v>17</v>
      </c>
      <c r="D19" s="36" t="s">
        <v>6</v>
      </c>
      <c r="E19" s="38"/>
      <c r="F19" s="36">
        <v>2017</v>
      </c>
      <c r="G19" s="36" t="s">
        <v>120</v>
      </c>
      <c r="H19" s="37">
        <v>1691.38</v>
      </c>
      <c r="I19" s="37">
        <f>H19-19.2</f>
        <v>1672.18</v>
      </c>
      <c r="J19" s="37">
        <f>300+500</f>
        <v>800</v>
      </c>
      <c r="K19" s="37">
        <v>800</v>
      </c>
      <c r="L19" s="37">
        <v>800</v>
      </c>
      <c r="M19" s="37">
        <f t="shared" si="6"/>
        <v>0</v>
      </c>
      <c r="N19" s="37"/>
      <c r="O19" s="37">
        <f t="shared" si="7"/>
        <v>872.1800000000001</v>
      </c>
      <c r="P19" s="37"/>
      <c r="Q19" s="37">
        <f t="shared" si="8"/>
        <v>850</v>
      </c>
      <c r="R19" s="37"/>
      <c r="S19" s="37"/>
      <c r="T19" s="37">
        <v>850</v>
      </c>
      <c r="U19" s="37"/>
      <c r="V19" s="38"/>
    </row>
    <row r="20" spans="1:23" s="5" customFormat="1" ht="28.5" customHeight="1">
      <c r="A20" s="33">
        <v>3</v>
      </c>
      <c r="B20" s="34" t="s">
        <v>20</v>
      </c>
      <c r="C20" s="40" t="s">
        <v>17</v>
      </c>
      <c r="D20" s="36"/>
      <c r="E20" s="38"/>
      <c r="F20" s="36">
        <v>2017</v>
      </c>
      <c r="G20" s="36" t="s">
        <v>121</v>
      </c>
      <c r="H20" s="37">
        <v>2999.038</v>
      </c>
      <c r="I20" s="37">
        <f>H20-57.27</f>
        <v>2941.768</v>
      </c>
      <c r="J20" s="37">
        <f>600+100</f>
        <v>700</v>
      </c>
      <c r="K20" s="37">
        <v>700</v>
      </c>
      <c r="L20" s="37">
        <v>700</v>
      </c>
      <c r="M20" s="37">
        <f t="shared" si="6"/>
        <v>0</v>
      </c>
      <c r="N20" s="37"/>
      <c r="O20" s="37">
        <f t="shared" si="7"/>
        <v>2241.768</v>
      </c>
      <c r="P20" s="37"/>
      <c r="Q20" s="37">
        <f t="shared" si="8"/>
        <v>2234.8</v>
      </c>
      <c r="R20" s="37"/>
      <c r="S20" s="37"/>
      <c r="T20" s="37">
        <v>201.8</v>
      </c>
      <c r="U20" s="37">
        <f>1900+98+35</f>
        <v>2033</v>
      </c>
      <c r="V20" s="38"/>
      <c r="W20" s="13"/>
    </row>
    <row r="21" spans="1:22" s="5" customFormat="1" ht="29.25" customHeight="1">
      <c r="A21" s="33">
        <v>4</v>
      </c>
      <c r="B21" s="34" t="s">
        <v>21</v>
      </c>
      <c r="C21" s="40" t="s">
        <v>17</v>
      </c>
      <c r="D21" s="36" t="s">
        <v>3</v>
      </c>
      <c r="E21" s="38"/>
      <c r="F21" s="36">
        <v>2017</v>
      </c>
      <c r="G21" s="36" t="s">
        <v>164</v>
      </c>
      <c r="H21" s="37">
        <v>899.5</v>
      </c>
      <c r="I21" s="37">
        <f>H21</f>
        <v>899.5</v>
      </c>
      <c r="J21" s="37">
        <f>100+400</f>
        <v>500</v>
      </c>
      <c r="K21" s="37">
        <v>50</v>
      </c>
      <c r="L21" s="37">
        <f>33.414+390</f>
        <v>423.414</v>
      </c>
      <c r="M21" s="37">
        <f t="shared" si="6"/>
        <v>76.58600000000001</v>
      </c>
      <c r="N21" s="37"/>
      <c r="O21" s="37">
        <f t="shared" si="7"/>
        <v>399.5</v>
      </c>
      <c r="P21" s="37"/>
      <c r="Q21" s="37">
        <f t="shared" si="8"/>
        <v>360</v>
      </c>
      <c r="R21" s="37"/>
      <c r="S21" s="37"/>
      <c r="T21" s="37">
        <v>360</v>
      </c>
      <c r="U21" s="37"/>
      <c r="V21" s="38"/>
    </row>
    <row r="22" spans="1:22" s="5" customFormat="1" ht="29.25" customHeight="1">
      <c r="A22" s="33">
        <v>5</v>
      </c>
      <c r="B22" s="34" t="s">
        <v>22</v>
      </c>
      <c r="C22" s="40" t="s">
        <v>17</v>
      </c>
      <c r="D22" s="36" t="s">
        <v>3</v>
      </c>
      <c r="E22" s="38"/>
      <c r="F22" s="36">
        <v>2017</v>
      </c>
      <c r="G22" s="36" t="s">
        <v>165</v>
      </c>
      <c r="H22" s="37">
        <v>2994.8</v>
      </c>
      <c r="I22" s="37">
        <f>H22-133.4</f>
        <v>2861.4</v>
      </c>
      <c r="J22" s="37">
        <f>1000+100</f>
        <v>1100</v>
      </c>
      <c r="K22" s="37">
        <v>1000</v>
      </c>
      <c r="L22" s="37">
        <f>1000+100</f>
        <v>1100</v>
      </c>
      <c r="M22" s="37">
        <f t="shared" si="6"/>
        <v>0</v>
      </c>
      <c r="N22" s="37"/>
      <c r="O22" s="37">
        <f t="shared" si="7"/>
        <v>1761.4</v>
      </c>
      <c r="P22" s="37"/>
      <c r="Q22" s="37">
        <f t="shared" si="8"/>
        <v>1750</v>
      </c>
      <c r="R22" s="37"/>
      <c r="S22" s="37"/>
      <c r="T22" s="37">
        <v>1750</v>
      </c>
      <c r="U22" s="37"/>
      <c r="V22" s="38"/>
    </row>
    <row r="23" spans="1:22" s="5" customFormat="1" ht="28.5" customHeight="1">
      <c r="A23" s="33">
        <v>6</v>
      </c>
      <c r="B23" s="34" t="s">
        <v>23</v>
      </c>
      <c r="C23" s="40" t="s">
        <v>17</v>
      </c>
      <c r="D23" s="36" t="s">
        <v>3</v>
      </c>
      <c r="E23" s="38"/>
      <c r="F23" s="36">
        <v>2017</v>
      </c>
      <c r="G23" s="36" t="s">
        <v>122</v>
      </c>
      <c r="H23" s="37">
        <v>1693.6</v>
      </c>
      <c r="I23" s="37">
        <f>H23</f>
        <v>1693.6</v>
      </c>
      <c r="J23" s="37">
        <v>600</v>
      </c>
      <c r="K23" s="37">
        <v>300</v>
      </c>
      <c r="L23" s="37">
        <v>600</v>
      </c>
      <c r="M23" s="37">
        <f t="shared" si="6"/>
        <v>0</v>
      </c>
      <c r="N23" s="37"/>
      <c r="O23" s="37">
        <f t="shared" si="7"/>
        <v>1093.6</v>
      </c>
      <c r="P23" s="37"/>
      <c r="Q23" s="37">
        <f t="shared" si="8"/>
        <v>1080</v>
      </c>
      <c r="R23" s="37"/>
      <c r="S23" s="37"/>
      <c r="T23" s="37">
        <v>250</v>
      </c>
      <c r="U23" s="37">
        <v>830</v>
      </c>
      <c r="V23" s="38"/>
    </row>
    <row r="24" spans="1:22" s="5" customFormat="1" ht="28.5" customHeight="1">
      <c r="A24" s="33">
        <v>7</v>
      </c>
      <c r="B24" s="34" t="s">
        <v>24</v>
      </c>
      <c r="C24" s="40" t="s">
        <v>17</v>
      </c>
      <c r="D24" s="36" t="s">
        <v>48</v>
      </c>
      <c r="E24" s="38"/>
      <c r="F24" s="36">
        <v>2017</v>
      </c>
      <c r="G24" s="36" t="s">
        <v>124</v>
      </c>
      <c r="H24" s="37">
        <v>1996.4</v>
      </c>
      <c r="I24" s="37">
        <f>H24-16.5</f>
        <v>1979.9</v>
      </c>
      <c r="J24" s="37">
        <v>900</v>
      </c>
      <c r="K24" s="37">
        <v>300</v>
      </c>
      <c r="L24" s="37">
        <v>850</v>
      </c>
      <c r="M24" s="37">
        <f t="shared" si="6"/>
        <v>50</v>
      </c>
      <c r="N24" s="37"/>
      <c r="O24" s="37">
        <f t="shared" si="7"/>
        <v>1079.9</v>
      </c>
      <c r="P24" s="37"/>
      <c r="Q24" s="37">
        <f t="shared" si="8"/>
        <v>1050</v>
      </c>
      <c r="R24" s="37"/>
      <c r="S24" s="37"/>
      <c r="T24" s="37">
        <f>800+250</f>
        <v>1050</v>
      </c>
      <c r="U24" s="37"/>
      <c r="V24" s="38"/>
    </row>
    <row r="25" spans="1:22" s="5" customFormat="1" ht="30" customHeight="1">
      <c r="A25" s="33">
        <v>8</v>
      </c>
      <c r="B25" s="34" t="s">
        <v>25</v>
      </c>
      <c r="C25" s="40" t="s">
        <v>17</v>
      </c>
      <c r="D25" s="36" t="s">
        <v>3</v>
      </c>
      <c r="E25" s="36"/>
      <c r="F25" s="36">
        <v>2017</v>
      </c>
      <c r="G25" s="36" t="s">
        <v>123</v>
      </c>
      <c r="H25" s="37">
        <v>814.85</v>
      </c>
      <c r="I25" s="37">
        <f>H25</f>
        <v>814.85</v>
      </c>
      <c r="J25" s="37">
        <v>240.2</v>
      </c>
      <c r="K25" s="37"/>
      <c r="L25" s="37"/>
      <c r="M25" s="37">
        <f t="shared" si="6"/>
        <v>240.2</v>
      </c>
      <c r="N25" s="37"/>
      <c r="O25" s="37">
        <f t="shared" si="7"/>
        <v>574.6500000000001</v>
      </c>
      <c r="P25" s="37"/>
      <c r="Q25" s="37">
        <f t="shared" si="8"/>
        <v>550</v>
      </c>
      <c r="R25" s="37"/>
      <c r="S25" s="37"/>
      <c r="T25" s="37">
        <v>550</v>
      </c>
      <c r="U25" s="37"/>
      <c r="V25" s="38"/>
    </row>
    <row r="26" spans="1:22" s="5" customFormat="1" ht="27.75" customHeight="1">
      <c r="A26" s="33">
        <v>9</v>
      </c>
      <c r="B26" s="34" t="s">
        <v>27</v>
      </c>
      <c r="C26" s="40" t="s">
        <v>17</v>
      </c>
      <c r="D26" s="36" t="s">
        <v>3</v>
      </c>
      <c r="E26" s="36" t="s">
        <v>28</v>
      </c>
      <c r="F26" s="36">
        <v>2017</v>
      </c>
      <c r="G26" s="36" t="s">
        <v>125</v>
      </c>
      <c r="H26" s="37">
        <v>3943.583</v>
      </c>
      <c r="I26" s="37">
        <f>H26-64.4</f>
        <v>3879.183</v>
      </c>
      <c r="J26" s="37">
        <f>2064.787655+1385.46</f>
        <v>3450.247655</v>
      </c>
      <c r="K26" s="37">
        <v>2110.9</v>
      </c>
      <c r="L26" s="37">
        <f>1700+153.187+211.6+1110.94</f>
        <v>3175.727</v>
      </c>
      <c r="M26" s="37">
        <f t="shared" si="6"/>
        <v>274.52065500000026</v>
      </c>
      <c r="N26" s="37"/>
      <c r="O26" s="37">
        <f t="shared" si="7"/>
        <v>428.93534499999987</v>
      </c>
      <c r="P26" s="37"/>
      <c r="Q26" s="37">
        <f t="shared" si="8"/>
        <v>420</v>
      </c>
      <c r="R26" s="37"/>
      <c r="S26" s="37"/>
      <c r="T26" s="37"/>
      <c r="U26" s="37">
        <v>420</v>
      </c>
      <c r="V26" s="38"/>
    </row>
    <row r="27" spans="1:22" s="5" customFormat="1" ht="30" customHeight="1">
      <c r="A27" s="33">
        <v>10</v>
      </c>
      <c r="B27" s="34" t="s">
        <v>37</v>
      </c>
      <c r="C27" s="40" t="s">
        <v>17</v>
      </c>
      <c r="D27" s="36" t="s">
        <v>29</v>
      </c>
      <c r="E27" s="36" t="s">
        <v>26</v>
      </c>
      <c r="F27" s="36">
        <v>2017</v>
      </c>
      <c r="G27" s="36" t="s">
        <v>126</v>
      </c>
      <c r="H27" s="37">
        <v>4850.615</v>
      </c>
      <c r="I27" s="37">
        <f>H27-584.6</f>
        <v>4266.014999999999</v>
      </c>
      <c r="J27" s="37">
        <f>457.85+308.088+19.683+19.172+727.169421</f>
        <v>1531.9624210000002</v>
      </c>
      <c r="K27" s="37">
        <v>0</v>
      </c>
      <c r="L27" s="37">
        <f>457.85+308.088+19.683+19.172+727.169421</f>
        <v>1531.9624210000002</v>
      </c>
      <c r="M27" s="37">
        <f t="shared" si="6"/>
        <v>0</v>
      </c>
      <c r="N27" s="37"/>
      <c r="O27" s="37">
        <f t="shared" si="7"/>
        <v>2734.0525789999992</v>
      </c>
      <c r="P27" s="37"/>
      <c r="Q27" s="37">
        <f t="shared" si="8"/>
        <v>2700</v>
      </c>
      <c r="R27" s="37"/>
      <c r="S27" s="37"/>
      <c r="T27" s="37">
        <v>2700</v>
      </c>
      <c r="U27" s="37"/>
      <c r="V27" s="38"/>
    </row>
    <row r="28" spans="1:22" s="5" customFormat="1" ht="28.5" customHeight="1">
      <c r="A28" s="33">
        <v>11</v>
      </c>
      <c r="B28" s="34" t="s">
        <v>38</v>
      </c>
      <c r="C28" s="40" t="s">
        <v>17</v>
      </c>
      <c r="D28" s="36" t="s">
        <v>29</v>
      </c>
      <c r="E28" s="36" t="s">
        <v>30</v>
      </c>
      <c r="F28" s="36">
        <v>2017</v>
      </c>
      <c r="G28" s="36" t="s">
        <v>166</v>
      </c>
      <c r="H28" s="37">
        <v>2978.4</v>
      </c>
      <c r="I28" s="37">
        <f>H28-164.1</f>
        <v>2814.3</v>
      </c>
      <c r="J28" s="37">
        <v>937.516</v>
      </c>
      <c r="K28" s="37">
        <v>0</v>
      </c>
      <c r="L28" s="37">
        <v>0</v>
      </c>
      <c r="M28" s="37">
        <f t="shared" si="6"/>
        <v>937.516</v>
      </c>
      <c r="N28" s="37"/>
      <c r="O28" s="37">
        <f t="shared" si="7"/>
        <v>1876.784</v>
      </c>
      <c r="P28" s="37"/>
      <c r="Q28" s="37">
        <f t="shared" si="8"/>
        <v>1850</v>
      </c>
      <c r="R28" s="37"/>
      <c r="S28" s="37"/>
      <c r="T28" s="37">
        <v>1400</v>
      </c>
      <c r="U28" s="37">
        <v>450</v>
      </c>
      <c r="V28" s="38"/>
    </row>
    <row r="29" spans="1:22" s="6" customFormat="1" ht="27" customHeight="1">
      <c r="A29" s="33">
        <v>12</v>
      </c>
      <c r="B29" s="34" t="s">
        <v>31</v>
      </c>
      <c r="C29" s="40" t="s">
        <v>17</v>
      </c>
      <c r="D29" s="36" t="s">
        <v>3</v>
      </c>
      <c r="E29" s="36" t="s">
        <v>32</v>
      </c>
      <c r="F29" s="36">
        <v>2017</v>
      </c>
      <c r="G29" s="36"/>
      <c r="H29" s="37">
        <v>846.816</v>
      </c>
      <c r="I29" s="37"/>
      <c r="J29" s="37">
        <v>600</v>
      </c>
      <c r="K29" s="37">
        <v>0</v>
      </c>
      <c r="L29" s="37">
        <v>0</v>
      </c>
      <c r="M29" s="37">
        <f t="shared" si="6"/>
        <v>600</v>
      </c>
      <c r="N29" s="37"/>
      <c r="O29" s="37">
        <f>H29-J29</f>
        <v>246.81600000000003</v>
      </c>
      <c r="P29" s="37"/>
      <c r="Q29" s="37">
        <f t="shared" si="8"/>
        <v>240</v>
      </c>
      <c r="R29" s="37"/>
      <c r="S29" s="37"/>
      <c r="T29" s="37">
        <v>240</v>
      </c>
      <c r="U29" s="37"/>
      <c r="V29" s="41"/>
    </row>
    <row r="30" spans="1:22" s="6" customFormat="1" ht="29.25" customHeight="1">
      <c r="A30" s="33">
        <v>13</v>
      </c>
      <c r="B30" s="34" t="s">
        <v>33</v>
      </c>
      <c r="C30" s="40" t="s">
        <v>17</v>
      </c>
      <c r="D30" s="36" t="s">
        <v>3</v>
      </c>
      <c r="E30" s="36" t="s">
        <v>34</v>
      </c>
      <c r="F30" s="36">
        <v>2017</v>
      </c>
      <c r="G30" s="36" t="s">
        <v>127</v>
      </c>
      <c r="H30" s="37">
        <v>712.4</v>
      </c>
      <c r="I30" s="37">
        <f>H30</f>
        <v>712.4</v>
      </c>
      <c r="J30" s="37">
        <v>400</v>
      </c>
      <c r="K30" s="37">
        <v>600</v>
      </c>
      <c r="L30" s="37">
        <v>400</v>
      </c>
      <c r="M30" s="37">
        <f t="shared" si="6"/>
        <v>0</v>
      </c>
      <c r="N30" s="37"/>
      <c r="O30" s="37">
        <f>I30-J30</f>
        <v>312.4</v>
      </c>
      <c r="P30" s="37"/>
      <c r="Q30" s="37">
        <f t="shared" si="8"/>
        <v>300</v>
      </c>
      <c r="R30" s="37"/>
      <c r="S30" s="37"/>
      <c r="T30" s="37">
        <v>300</v>
      </c>
      <c r="U30" s="37"/>
      <c r="V30" s="41"/>
    </row>
    <row r="31" spans="1:22" s="6" customFormat="1" ht="27.75" customHeight="1">
      <c r="A31" s="33">
        <v>14</v>
      </c>
      <c r="B31" s="34" t="s">
        <v>35</v>
      </c>
      <c r="C31" s="40" t="s">
        <v>17</v>
      </c>
      <c r="D31" s="36" t="s">
        <v>9</v>
      </c>
      <c r="E31" s="36" t="s">
        <v>36</v>
      </c>
      <c r="F31" s="36">
        <v>2017</v>
      </c>
      <c r="G31" s="36" t="s">
        <v>128</v>
      </c>
      <c r="H31" s="37">
        <v>1587.849</v>
      </c>
      <c r="I31" s="37">
        <f>H31-128.7</f>
        <v>1459.149</v>
      </c>
      <c r="J31" s="37">
        <v>700</v>
      </c>
      <c r="K31" s="37">
        <v>700</v>
      </c>
      <c r="L31" s="37">
        <v>700</v>
      </c>
      <c r="M31" s="37">
        <f t="shared" si="6"/>
        <v>0</v>
      </c>
      <c r="N31" s="37"/>
      <c r="O31" s="37">
        <f>I31-J31</f>
        <v>759.1489999999999</v>
      </c>
      <c r="P31" s="37"/>
      <c r="Q31" s="37">
        <f t="shared" si="8"/>
        <v>750</v>
      </c>
      <c r="R31" s="37"/>
      <c r="S31" s="37"/>
      <c r="T31" s="37">
        <v>750</v>
      </c>
      <c r="U31" s="37"/>
      <c r="V31" s="41"/>
    </row>
    <row r="32" spans="1:23" s="14" customFormat="1" ht="19.5" customHeight="1">
      <c r="A32" s="1" t="s">
        <v>109</v>
      </c>
      <c r="B32" s="68" t="s">
        <v>152</v>
      </c>
      <c r="C32" s="1"/>
      <c r="D32" s="1"/>
      <c r="E32" s="2"/>
      <c r="F32" s="1"/>
      <c r="G32" s="1"/>
      <c r="H32" s="31">
        <f aca="true" t="shared" si="9" ref="H32:O32">SUM(H33:H41)</f>
        <v>11183.8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0</v>
      </c>
      <c r="O32" s="31">
        <f t="shared" si="9"/>
        <v>11183.8</v>
      </c>
      <c r="P32" s="31"/>
      <c r="Q32" s="31">
        <v>4323</v>
      </c>
      <c r="R32" s="31"/>
      <c r="S32" s="31"/>
      <c r="T32" s="31"/>
      <c r="U32" s="31">
        <v>4323</v>
      </c>
      <c r="V32" s="32"/>
      <c r="W32" s="16"/>
    </row>
    <row r="33" spans="1:22" s="6" customFormat="1" ht="27" customHeight="1">
      <c r="A33" s="33">
        <v>1</v>
      </c>
      <c r="B33" s="34" t="s">
        <v>138</v>
      </c>
      <c r="C33" s="40" t="s">
        <v>17</v>
      </c>
      <c r="D33" s="36" t="s">
        <v>6</v>
      </c>
      <c r="E33" s="36"/>
      <c r="F33" s="41">
        <v>2018</v>
      </c>
      <c r="G33" s="36"/>
      <c r="H33" s="44">
        <v>5000</v>
      </c>
      <c r="I33" s="37"/>
      <c r="J33" s="37"/>
      <c r="K33" s="37"/>
      <c r="L33" s="37"/>
      <c r="M33" s="37"/>
      <c r="N33" s="37"/>
      <c r="O33" s="37">
        <f aca="true" t="shared" si="10" ref="O33:O42">H33</f>
        <v>5000</v>
      </c>
      <c r="P33" s="37"/>
      <c r="Q33" s="37">
        <f aca="true" t="shared" si="11" ref="Q33:Q41">R33+S33+T33+U33</f>
        <v>0</v>
      </c>
      <c r="R33" s="37"/>
      <c r="S33" s="37"/>
      <c r="T33" s="37"/>
      <c r="U33" s="37"/>
      <c r="V33" s="41"/>
    </row>
    <row r="34" spans="1:22" s="5" customFormat="1" ht="28.5" customHeight="1">
      <c r="A34" s="33">
        <v>2</v>
      </c>
      <c r="B34" s="45" t="s">
        <v>153</v>
      </c>
      <c r="C34" s="40" t="s">
        <v>17</v>
      </c>
      <c r="D34" s="36" t="s">
        <v>3</v>
      </c>
      <c r="E34" s="38"/>
      <c r="F34" s="41">
        <v>2018</v>
      </c>
      <c r="G34" s="38"/>
      <c r="H34" s="44">
        <v>400</v>
      </c>
      <c r="I34" s="46"/>
      <c r="J34" s="46"/>
      <c r="K34" s="46"/>
      <c r="L34" s="46"/>
      <c r="M34" s="46"/>
      <c r="N34" s="47"/>
      <c r="O34" s="37">
        <f t="shared" si="10"/>
        <v>400</v>
      </c>
      <c r="P34" s="37"/>
      <c r="Q34" s="37">
        <f t="shared" si="11"/>
        <v>0</v>
      </c>
      <c r="R34" s="37"/>
      <c r="S34" s="37"/>
      <c r="T34" s="37"/>
      <c r="U34" s="37"/>
      <c r="V34" s="38"/>
    </row>
    <row r="35" spans="1:22" s="5" customFormat="1" ht="29.25" customHeight="1">
      <c r="A35" s="33">
        <v>3</v>
      </c>
      <c r="B35" s="45" t="s">
        <v>49</v>
      </c>
      <c r="C35" s="40" t="s">
        <v>17</v>
      </c>
      <c r="D35" s="36" t="s">
        <v>29</v>
      </c>
      <c r="E35" s="38"/>
      <c r="F35" s="41">
        <v>2018</v>
      </c>
      <c r="G35" s="38"/>
      <c r="H35" s="44">
        <v>2200</v>
      </c>
      <c r="I35" s="46"/>
      <c r="J35" s="46"/>
      <c r="K35" s="46"/>
      <c r="L35" s="46"/>
      <c r="M35" s="46"/>
      <c r="N35" s="46"/>
      <c r="O35" s="37">
        <f t="shared" si="10"/>
        <v>2200</v>
      </c>
      <c r="P35" s="37"/>
      <c r="Q35" s="37">
        <f t="shared" si="11"/>
        <v>0</v>
      </c>
      <c r="R35" s="37"/>
      <c r="S35" s="37"/>
      <c r="T35" s="37"/>
      <c r="U35" s="37"/>
      <c r="V35" s="38"/>
    </row>
    <row r="36" spans="1:22" s="5" customFormat="1" ht="27.75" customHeight="1">
      <c r="A36" s="33">
        <v>4</v>
      </c>
      <c r="B36" s="48" t="s">
        <v>50</v>
      </c>
      <c r="C36" s="40" t="s">
        <v>17</v>
      </c>
      <c r="D36" s="36" t="s">
        <v>54</v>
      </c>
      <c r="E36" s="38"/>
      <c r="F36" s="41">
        <v>2018</v>
      </c>
      <c r="G36" s="38"/>
      <c r="H36" s="44">
        <v>800</v>
      </c>
      <c r="I36" s="46"/>
      <c r="J36" s="46"/>
      <c r="K36" s="46"/>
      <c r="L36" s="46"/>
      <c r="M36" s="46"/>
      <c r="N36" s="46"/>
      <c r="O36" s="37">
        <f t="shared" si="10"/>
        <v>800</v>
      </c>
      <c r="P36" s="37"/>
      <c r="Q36" s="37">
        <f t="shared" si="11"/>
        <v>0</v>
      </c>
      <c r="R36" s="37"/>
      <c r="S36" s="37"/>
      <c r="T36" s="37"/>
      <c r="U36" s="37"/>
      <c r="V36" s="38"/>
    </row>
    <row r="37" spans="1:22" s="5" customFormat="1" ht="29.25" customHeight="1">
      <c r="A37" s="33">
        <v>5</v>
      </c>
      <c r="B37" s="45" t="s">
        <v>51</v>
      </c>
      <c r="C37" s="40" t="s">
        <v>17</v>
      </c>
      <c r="D37" s="36" t="s">
        <v>3</v>
      </c>
      <c r="E37" s="38"/>
      <c r="F37" s="41">
        <v>2018</v>
      </c>
      <c r="G37" s="38"/>
      <c r="H37" s="44">
        <v>132</v>
      </c>
      <c r="I37" s="46"/>
      <c r="J37" s="46"/>
      <c r="K37" s="46"/>
      <c r="L37" s="46"/>
      <c r="M37" s="46"/>
      <c r="N37" s="46"/>
      <c r="O37" s="37">
        <f t="shared" si="10"/>
        <v>132</v>
      </c>
      <c r="P37" s="37"/>
      <c r="Q37" s="37">
        <f t="shared" si="11"/>
        <v>0</v>
      </c>
      <c r="R37" s="37"/>
      <c r="S37" s="37"/>
      <c r="T37" s="37"/>
      <c r="U37" s="37"/>
      <c r="V37" s="38"/>
    </row>
    <row r="38" spans="1:22" s="5" customFormat="1" ht="28.5" customHeight="1">
      <c r="A38" s="33">
        <v>6</v>
      </c>
      <c r="B38" s="45" t="s">
        <v>52</v>
      </c>
      <c r="C38" s="40" t="s">
        <v>17</v>
      </c>
      <c r="D38" s="36" t="s">
        <v>3</v>
      </c>
      <c r="E38" s="38"/>
      <c r="F38" s="41">
        <v>2018</v>
      </c>
      <c r="G38" s="38"/>
      <c r="H38" s="44">
        <v>100</v>
      </c>
      <c r="I38" s="46"/>
      <c r="J38" s="46"/>
      <c r="K38" s="46"/>
      <c r="L38" s="46"/>
      <c r="M38" s="46"/>
      <c r="N38" s="46"/>
      <c r="O38" s="37">
        <f t="shared" si="10"/>
        <v>100</v>
      </c>
      <c r="P38" s="37"/>
      <c r="Q38" s="37">
        <f t="shared" si="11"/>
        <v>0</v>
      </c>
      <c r="R38" s="37"/>
      <c r="S38" s="37"/>
      <c r="T38" s="37"/>
      <c r="U38" s="37"/>
      <c r="V38" s="38"/>
    </row>
    <row r="39" spans="1:22" s="5" customFormat="1" ht="27" customHeight="1">
      <c r="A39" s="33">
        <v>7</v>
      </c>
      <c r="B39" s="45" t="s">
        <v>53</v>
      </c>
      <c r="C39" s="40" t="s">
        <v>17</v>
      </c>
      <c r="D39" s="36" t="s">
        <v>3</v>
      </c>
      <c r="E39" s="38"/>
      <c r="F39" s="41">
        <v>2018</v>
      </c>
      <c r="G39" s="38"/>
      <c r="H39" s="44">
        <v>1000</v>
      </c>
      <c r="I39" s="46"/>
      <c r="J39" s="46"/>
      <c r="K39" s="46"/>
      <c r="L39" s="46"/>
      <c r="M39" s="46"/>
      <c r="N39" s="46"/>
      <c r="O39" s="37">
        <f t="shared" si="10"/>
        <v>1000</v>
      </c>
      <c r="P39" s="37"/>
      <c r="Q39" s="37">
        <f t="shared" si="11"/>
        <v>0</v>
      </c>
      <c r="R39" s="37"/>
      <c r="S39" s="37"/>
      <c r="T39" s="37"/>
      <c r="U39" s="37"/>
      <c r="V39" s="38"/>
    </row>
    <row r="40" spans="1:22" s="5" customFormat="1" ht="27" customHeight="1">
      <c r="A40" s="33">
        <v>8</v>
      </c>
      <c r="B40" s="45" t="s">
        <v>154</v>
      </c>
      <c r="C40" s="40" t="s">
        <v>17</v>
      </c>
      <c r="D40" s="36" t="s">
        <v>3</v>
      </c>
      <c r="E40" s="38"/>
      <c r="F40" s="41">
        <v>2018</v>
      </c>
      <c r="G40" s="38"/>
      <c r="H40" s="44">
        <v>51.8</v>
      </c>
      <c r="I40" s="46"/>
      <c r="J40" s="46"/>
      <c r="K40" s="46"/>
      <c r="L40" s="46"/>
      <c r="M40" s="46"/>
      <c r="N40" s="46"/>
      <c r="O40" s="37">
        <f t="shared" si="10"/>
        <v>51.8</v>
      </c>
      <c r="P40" s="37"/>
      <c r="Q40" s="37">
        <f t="shared" si="11"/>
        <v>0</v>
      </c>
      <c r="R40" s="37"/>
      <c r="S40" s="37"/>
      <c r="T40" s="37"/>
      <c r="U40" s="37"/>
      <c r="V40" s="38"/>
    </row>
    <row r="41" spans="1:22" s="5" customFormat="1" ht="28.5" customHeight="1">
      <c r="A41" s="33">
        <v>9</v>
      </c>
      <c r="B41" s="45" t="s">
        <v>155</v>
      </c>
      <c r="C41" s="40" t="s">
        <v>17</v>
      </c>
      <c r="D41" s="36" t="s">
        <v>3</v>
      </c>
      <c r="E41" s="38"/>
      <c r="F41" s="41">
        <v>2018</v>
      </c>
      <c r="G41" s="38"/>
      <c r="H41" s="44">
        <v>1500</v>
      </c>
      <c r="I41" s="46"/>
      <c r="J41" s="46"/>
      <c r="K41" s="46"/>
      <c r="L41" s="46"/>
      <c r="M41" s="46"/>
      <c r="N41" s="46"/>
      <c r="O41" s="37">
        <f t="shared" si="10"/>
        <v>1500</v>
      </c>
      <c r="P41" s="37"/>
      <c r="Q41" s="37">
        <f t="shared" si="11"/>
        <v>0</v>
      </c>
      <c r="R41" s="37"/>
      <c r="S41" s="37"/>
      <c r="T41" s="37"/>
      <c r="U41" s="37"/>
      <c r="V41" s="38"/>
    </row>
    <row r="42" spans="1:22" s="5" customFormat="1" ht="27.75" customHeight="1">
      <c r="A42" s="33">
        <v>10</v>
      </c>
      <c r="B42" s="45" t="s">
        <v>139</v>
      </c>
      <c r="C42" s="40" t="s">
        <v>17</v>
      </c>
      <c r="D42" s="36" t="s">
        <v>9</v>
      </c>
      <c r="E42" s="38"/>
      <c r="F42" s="41">
        <v>2018</v>
      </c>
      <c r="G42" s="38"/>
      <c r="H42" s="44">
        <v>350</v>
      </c>
      <c r="I42" s="46"/>
      <c r="J42" s="46"/>
      <c r="K42" s="46"/>
      <c r="L42" s="46"/>
      <c r="M42" s="46"/>
      <c r="N42" s="46"/>
      <c r="O42" s="37">
        <f t="shared" si="10"/>
        <v>350</v>
      </c>
      <c r="P42" s="37"/>
      <c r="Q42" s="37"/>
      <c r="R42" s="37"/>
      <c r="S42" s="37"/>
      <c r="T42" s="37"/>
      <c r="U42" s="37"/>
      <c r="V42" s="38"/>
    </row>
    <row r="43" spans="1:22" s="14" customFormat="1" ht="20.25" customHeight="1">
      <c r="A43" s="29" t="s">
        <v>110</v>
      </c>
      <c r="B43" s="68" t="s">
        <v>156</v>
      </c>
      <c r="C43" s="49"/>
      <c r="D43" s="1"/>
      <c r="E43" s="32"/>
      <c r="F43" s="20"/>
      <c r="G43" s="32"/>
      <c r="H43" s="50"/>
      <c r="I43" s="51"/>
      <c r="J43" s="51"/>
      <c r="K43" s="51"/>
      <c r="L43" s="51"/>
      <c r="M43" s="51"/>
      <c r="N43" s="51"/>
      <c r="O43" s="52"/>
      <c r="P43" s="52"/>
      <c r="Q43" s="53">
        <f>R43+S43+T43+U43</f>
        <v>1390.2</v>
      </c>
      <c r="R43" s="52"/>
      <c r="S43" s="52"/>
      <c r="T43" s="54">
        <v>1390.2</v>
      </c>
      <c r="U43" s="52"/>
      <c r="V43" s="32"/>
    </row>
    <row r="44" spans="1:22" s="14" customFormat="1" ht="25.5" customHeight="1">
      <c r="A44" s="29" t="s">
        <v>111</v>
      </c>
      <c r="B44" s="68" t="s">
        <v>157</v>
      </c>
      <c r="C44" s="49"/>
      <c r="D44" s="1"/>
      <c r="E44" s="32"/>
      <c r="F44" s="20"/>
      <c r="G44" s="32"/>
      <c r="H44" s="52">
        <f aca="true" t="shared" si="12" ref="H44:N44">SUM(H45:H48)</f>
        <v>444.6</v>
      </c>
      <c r="I44" s="52">
        <f t="shared" si="12"/>
        <v>0</v>
      </c>
      <c r="J44" s="52">
        <f t="shared" si="12"/>
        <v>0</v>
      </c>
      <c r="K44" s="52">
        <f t="shared" si="12"/>
        <v>0</v>
      </c>
      <c r="L44" s="52">
        <f t="shared" si="12"/>
        <v>0</v>
      </c>
      <c r="M44" s="52">
        <f t="shared" si="12"/>
        <v>0</v>
      </c>
      <c r="N44" s="52">
        <f t="shared" si="12"/>
        <v>0</v>
      </c>
      <c r="O44" s="52">
        <f>SUM(O45:O48)</f>
        <v>444.6</v>
      </c>
      <c r="P44" s="52"/>
      <c r="Q44" s="53">
        <f>R44+S44+T44+U44</f>
        <v>4000</v>
      </c>
      <c r="R44" s="52"/>
      <c r="S44" s="52"/>
      <c r="T44" s="54"/>
      <c r="U44" s="54">
        <f>SUM(U45:U48)</f>
        <v>4000</v>
      </c>
      <c r="V44" s="32"/>
    </row>
    <row r="45" spans="1:22" s="5" customFormat="1" ht="29.25" customHeight="1">
      <c r="A45" s="33">
        <v>1</v>
      </c>
      <c r="B45" s="45" t="s">
        <v>141</v>
      </c>
      <c r="C45" s="40" t="s">
        <v>17</v>
      </c>
      <c r="D45" s="36"/>
      <c r="E45" s="38"/>
      <c r="F45" s="41">
        <v>2018</v>
      </c>
      <c r="G45" s="55" t="s">
        <v>146</v>
      </c>
      <c r="H45" s="44">
        <v>444.6</v>
      </c>
      <c r="I45" s="46"/>
      <c r="J45" s="46"/>
      <c r="K45" s="46"/>
      <c r="L45" s="46"/>
      <c r="M45" s="46"/>
      <c r="N45" s="46"/>
      <c r="O45" s="37">
        <v>444.6</v>
      </c>
      <c r="P45" s="37"/>
      <c r="Q45" s="56">
        <f aca="true" t="shared" si="13" ref="Q45:Q50">R45+S45+T45+U45</f>
        <v>444.6</v>
      </c>
      <c r="R45" s="37"/>
      <c r="S45" s="37"/>
      <c r="T45" s="57"/>
      <c r="U45" s="57">
        <v>444.6</v>
      </c>
      <c r="V45" s="38"/>
    </row>
    <row r="46" spans="1:22" s="5" customFormat="1" ht="27.75" customHeight="1">
      <c r="A46" s="33">
        <v>2</v>
      </c>
      <c r="B46" s="45" t="s">
        <v>142</v>
      </c>
      <c r="C46" s="40" t="s">
        <v>17</v>
      </c>
      <c r="D46" s="36"/>
      <c r="E46" s="38"/>
      <c r="F46" s="41">
        <v>2018</v>
      </c>
      <c r="G46" s="38"/>
      <c r="H46" s="44"/>
      <c r="I46" s="46"/>
      <c r="J46" s="46"/>
      <c r="K46" s="46"/>
      <c r="L46" s="46"/>
      <c r="M46" s="46"/>
      <c r="N46" s="46"/>
      <c r="O46" s="37"/>
      <c r="P46" s="37"/>
      <c r="Q46" s="56">
        <f t="shared" si="13"/>
        <v>400</v>
      </c>
      <c r="R46" s="37"/>
      <c r="S46" s="37"/>
      <c r="T46" s="57"/>
      <c r="U46" s="57">
        <v>400</v>
      </c>
      <c r="V46" s="38"/>
    </row>
    <row r="47" spans="1:22" s="5" customFormat="1" ht="21" customHeight="1">
      <c r="A47" s="33">
        <v>3</v>
      </c>
      <c r="B47" s="45" t="s">
        <v>143</v>
      </c>
      <c r="C47" s="40"/>
      <c r="D47" s="36"/>
      <c r="E47" s="38"/>
      <c r="F47" s="41"/>
      <c r="G47" s="38"/>
      <c r="H47" s="44"/>
      <c r="I47" s="46"/>
      <c r="J47" s="46"/>
      <c r="K47" s="46"/>
      <c r="L47" s="46"/>
      <c r="M47" s="46"/>
      <c r="N47" s="46"/>
      <c r="O47" s="37"/>
      <c r="P47" s="37"/>
      <c r="Q47" s="56">
        <f t="shared" si="13"/>
        <v>2000</v>
      </c>
      <c r="R47" s="37"/>
      <c r="S47" s="37"/>
      <c r="T47" s="57"/>
      <c r="U47" s="57">
        <v>2000</v>
      </c>
      <c r="V47" s="38"/>
    </row>
    <row r="48" spans="1:22" s="5" customFormat="1" ht="21" customHeight="1">
      <c r="A48" s="33">
        <v>4</v>
      </c>
      <c r="B48" s="45" t="s">
        <v>144</v>
      </c>
      <c r="C48" s="40"/>
      <c r="D48" s="36"/>
      <c r="E48" s="38"/>
      <c r="F48" s="41"/>
      <c r="G48" s="38"/>
      <c r="H48" s="44"/>
      <c r="I48" s="46"/>
      <c r="J48" s="46"/>
      <c r="K48" s="46"/>
      <c r="L48" s="46"/>
      <c r="M48" s="46"/>
      <c r="N48" s="46"/>
      <c r="O48" s="37"/>
      <c r="P48" s="37"/>
      <c r="Q48" s="56">
        <f t="shared" si="13"/>
        <v>1155.4</v>
      </c>
      <c r="R48" s="37"/>
      <c r="S48" s="37"/>
      <c r="T48" s="57"/>
      <c r="U48" s="57">
        <v>1155.4</v>
      </c>
      <c r="V48" s="38"/>
    </row>
    <row r="49" spans="1:22" s="14" customFormat="1" ht="28.5" customHeight="1">
      <c r="A49" s="29" t="s">
        <v>113</v>
      </c>
      <c r="B49" s="68" t="s">
        <v>158</v>
      </c>
      <c r="C49" s="49"/>
      <c r="D49" s="1"/>
      <c r="E49" s="32"/>
      <c r="F49" s="20"/>
      <c r="G49" s="32"/>
      <c r="H49" s="50">
        <f>H50</f>
        <v>35400</v>
      </c>
      <c r="I49" s="51"/>
      <c r="J49" s="51"/>
      <c r="K49" s="51"/>
      <c r="L49" s="51"/>
      <c r="M49" s="51"/>
      <c r="N49" s="51"/>
      <c r="O49" s="52"/>
      <c r="P49" s="52"/>
      <c r="Q49" s="53">
        <f>R49+S49+T49+U49</f>
        <v>6000</v>
      </c>
      <c r="R49" s="52"/>
      <c r="S49" s="52"/>
      <c r="T49" s="54"/>
      <c r="U49" s="54">
        <f>U50</f>
        <v>6000</v>
      </c>
      <c r="V49" s="32"/>
    </row>
    <row r="50" spans="1:22" s="5" customFormat="1" ht="29.25" customHeight="1">
      <c r="A50" s="33"/>
      <c r="B50" s="45" t="s">
        <v>145</v>
      </c>
      <c r="C50" s="40" t="s">
        <v>17</v>
      </c>
      <c r="D50" s="36" t="s">
        <v>3</v>
      </c>
      <c r="E50" s="38"/>
      <c r="F50" s="41">
        <v>2017</v>
      </c>
      <c r="G50" s="37" t="s">
        <v>147</v>
      </c>
      <c r="H50" s="44">
        <v>35400</v>
      </c>
      <c r="I50" s="46"/>
      <c r="J50" s="46"/>
      <c r="K50" s="46"/>
      <c r="L50" s="46"/>
      <c r="M50" s="46"/>
      <c r="N50" s="46"/>
      <c r="O50" s="37"/>
      <c r="P50" s="37"/>
      <c r="Q50" s="56">
        <f t="shared" si="13"/>
        <v>6000</v>
      </c>
      <c r="R50" s="37"/>
      <c r="S50" s="37"/>
      <c r="T50" s="57"/>
      <c r="U50" s="57">
        <v>6000</v>
      </c>
      <c r="V50" s="38"/>
    </row>
    <row r="51" spans="1:251" s="19" customFormat="1" ht="26.25" customHeight="1">
      <c r="A51" s="29" t="s">
        <v>112</v>
      </c>
      <c r="B51" s="68" t="s">
        <v>159</v>
      </c>
      <c r="C51" s="29"/>
      <c r="D51" s="43"/>
      <c r="E51" s="29"/>
      <c r="F51" s="43"/>
      <c r="G51" s="29"/>
      <c r="H51" s="58">
        <f aca="true" t="shared" si="14" ref="H51:U51">SUM(H52:H81)</f>
        <v>47280.189</v>
      </c>
      <c r="I51" s="58">
        <f t="shared" si="14"/>
        <v>41387.456999999995</v>
      </c>
      <c r="J51" s="58">
        <f t="shared" si="14"/>
        <v>23303.490999999995</v>
      </c>
      <c r="K51" s="58">
        <f t="shared" si="14"/>
        <v>0</v>
      </c>
      <c r="L51" s="58">
        <f t="shared" si="14"/>
        <v>0</v>
      </c>
      <c r="M51" s="58">
        <f t="shared" si="14"/>
        <v>0</v>
      </c>
      <c r="N51" s="58">
        <f t="shared" si="14"/>
        <v>0</v>
      </c>
      <c r="O51" s="58">
        <f t="shared" si="14"/>
        <v>18083.965999999997</v>
      </c>
      <c r="P51" s="58">
        <f t="shared" si="14"/>
        <v>0</v>
      </c>
      <c r="Q51" s="58">
        <f t="shared" si="14"/>
        <v>3000</v>
      </c>
      <c r="R51" s="58">
        <f t="shared" si="14"/>
        <v>1000</v>
      </c>
      <c r="S51" s="58">
        <f t="shared" si="14"/>
        <v>2000</v>
      </c>
      <c r="T51" s="58">
        <f t="shared" si="14"/>
        <v>0</v>
      </c>
      <c r="U51" s="58">
        <f t="shared" si="14"/>
        <v>0</v>
      </c>
      <c r="V51" s="43"/>
      <c r="W51" s="17"/>
      <c r="X51" s="18"/>
      <c r="Y51" s="17"/>
      <c r="Z51" s="18"/>
      <c r="AA51" s="17"/>
      <c r="AB51" s="18"/>
      <c r="AC51" s="17"/>
      <c r="AD51" s="18"/>
      <c r="AE51" s="17"/>
      <c r="AF51" s="18"/>
      <c r="AG51" s="17"/>
      <c r="AH51" s="18"/>
      <c r="AI51" s="17"/>
      <c r="AJ51" s="18"/>
      <c r="AK51" s="17"/>
      <c r="AL51" s="18"/>
      <c r="AM51" s="17"/>
      <c r="AN51" s="18"/>
      <c r="AO51" s="17"/>
      <c r="AP51" s="18"/>
      <c r="AQ51" s="17"/>
      <c r="AR51" s="18"/>
      <c r="AS51" s="17"/>
      <c r="AT51" s="18"/>
      <c r="AU51" s="17"/>
      <c r="AV51" s="18"/>
      <c r="AW51" s="17"/>
      <c r="AX51" s="18"/>
      <c r="AY51" s="17"/>
      <c r="AZ51" s="18"/>
      <c r="BA51" s="17"/>
      <c r="BB51" s="18"/>
      <c r="BC51" s="17"/>
      <c r="BD51" s="18"/>
      <c r="BE51" s="17"/>
      <c r="BF51" s="18"/>
      <c r="BG51" s="17"/>
      <c r="BH51" s="18"/>
      <c r="BI51" s="17"/>
      <c r="BJ51" s="18"/>
      <c r="BK51" s="17"/>
      <c r="BL51" s="18"/>
      <c r="BM51" s="17"/>
      <c r="BN51" s="18"/>
      <c r="BO51" s="17"/>
      <c r="BP51" s="18"/>
      <c r="BQ51" s="17"/>
      <c r="BR51" s="18"/>
      <c r="BS51" s="17"/>
      <c r="BT51" s="18"/>
      <c r="BU51" s="17"/>
      <c r="BV51" s="18"/>
      <c r="BW51" s="17"/>
      <c r="BX51" s="18"/>
      <c r="BY51" s="17"/>
      <c r="BZ51" s="18"/>
      <c r="CA51" s="17"/>
      <c r="CB51" s="18"/>
      <c r="CC51" s="17"/>
      <c r="CD51" s="18"/>
      <c r="CE51" s="17"/>
      <c r="CF51" s="18"/>
      <c r="CG51" s="17"/>
      <c r="CH51" s="18"/>
      <c r="CI51" s="17"/>
      <c r="CJ51" s="18"/>
      <c r="CK51" s="17"/>
      <c r="CL51" s="18"/>
      <c r="CM51" s="17"/>
      <c r="CN51" s="18"/>
      <c r="CO51" s="17"/>
      <c r="CP51" s="18"/>
      <c r="CQ51" s="17"/>
      <c r="CR51" s="18"/>
      <c r="CS51" s="17"/>
      <c r="CT51" s="18"/>
      <c r="CU51" s="17"/>
      <c r="CV51" s="18"/>
      <c r="CW51" s="17"/>
      <c r="CX51" s="18"/>
      <c r="CY51" s="17"/>
      <c r="CZ51" s="18"/>
      <c r="DA51" s="17"/>
      <c r="DB51" s="18"/>
      <c r="DC51" s="17"/>
      <c r="DD51" s="18"/>
      <c r="DE51" s="17"/>
      <c r="DF51" s="18"/>
      <c r="DG51" s="17"/>
      <c r="DH51" s="18"/>
      <c r="DI51" s="17"/>
      <c r="DJ51" s="18"/>
      <c r="DK51" s="17"/>
      <c r="DL51" s="18"/>
      <c r="DM51" s="17"/>
      <c r="DN51" s="18"/>
      <c r="DO51" s="17"/>
      <c r="DP51" s="18"/>
      <c r="DQ51" s="17"/>
      <c r="DR51" s="18"/>
      <c r="DS51" s="17"/>
      <c r="DT51" s="18"/>
      <c r="DU51" s="17"/>
      <c r="DV51" s="18"/>
      <c r="DW51" s="17"/>
      <c r="DX51" s="18"/>
      <c r="DY51" s="17"/>
      <c r="DZ51" s="18"/>
      <c r="EA51" s="17"/>
      <c r="EB51" s="18"/>
      <c r="EC51" s="17"/>
      <c r="ED51" s="18"/>
      <c r="EE51" s="17"/>
      <c r="EF51" s="18"/>
      <c r="EG51" s="17"/>
      <c r="EH51" s="18"/>
      <c r="EI51" s="17"/>
      <c r="EJ51" s="18"/>
      <c r="EK51" s="17"/>
      <c r="EL51" s="18"/>
      <c r="EM51" s="17"/>
      <c r="EN51" s="18"/>
      <c r="EO51" s="17"/>
      <c r="EP51" s="18"/>
      <c r="EQ51" s="17"/>
      <c r="ER51" s="18"/>
      <c r="ES51" s="17"/>
      <c r="ET51" s="18"/>
      <c r="EU51" s="17"/>
      <c r="EV51" s="18"/>
      <c r="EW51" s="17"/>
      <c r="EX51" s="18"/>
      <c r="EY51" s="17"/>
      <c r="EZ51" s="18"/>
      <c r="FA51" s="17"/>
      <c r="FB51" s="18"/>
      <c r="FC51" s="17"/>
      <c r="FD51" s="18"/>
      <c r="FE51" s="17"/>
      <c r="FF51" s="18"/>
      <c r="FG51" s="17"/>
      <c r="FH51" s="18"/>
      <c r="FI51" s="17"/>
      <c r="FJ51" s="18"/>
      <c r="FK51" s="17"/>
      <c r="FL51" s="18"/>
      <c r="FM51" s="17"/>
      <c r="FN51" s="18"/>
      <c r="FO51" s="17"/>
      <c r="FP51" s="18"/>
      <c r="FQ51" s="17"/>
      <c r="FR51" s="18"/>
      <c r="FS51" s="17"/>
      <c r="FT51" s="18"/>
      <c r="FU51" s="17"/>
      <c r="FV51" s="18"/>
      <c r="FW51" s="17"/>
      <c r="FX51" s="18"/>
      <c r="FY51" s="17"/>
      <c r="FZ51" s="18"/>
      <c r="GA51" s="17"/>
      <c r="GB51" s="18"/>
      <c r="GC51" s="17"/>
      <c r="GD51" s="18"/>
      <c r="GE51" s="17"/>
      <c r="GF51" s="18"/>
      <c r="GG51" s="17"/>
      <c r="GH51" s="18"/>
      <c r="GI51" s="17"/>
      <c r="GJ51" s="18"/>
      <c r="GK51" s="17"/>
      <c r="GL51" s="18"/>
      <c r="GM51" s="17"/>
      <c r="GN51" s="18"/>
      <c r="GO51" s="17"/>
      <c r="GP51" s="18"/>
      <c r="GQ51" s="17"/>
      <c r="GR51" s="18"/>
      <c r="GS51" s="17"/>
      <c r="GT51" s="18"/>
      <c r="GU51" s="17"/>
      <c r="GV51" s="18"/>
      <c r="GW51" s="17"/>
      <c r="GX51" s="18"/>
      <c r="GY51" s="17"/>
      <c r="GZ51" s="18"/>
      <c r="HA51" s="17"/>
      <c r="HB51" s="18"/>
      <c r="HC51" s="17"/>
      <c r="HD51" s="18"/>
      <c r="HE51" s="17"/>
      <c r="HF51" s="18"/>
      <c r="HG51" s="17"/>
      <c r="HH51" s="18"/>
      <c r="HI51" s="17"/>
      <c r="HJ51" s="18"/>
      <c r="HK51" s="17"/>
      <c r="HL51" s="18"/>
      <c r="HM51" s="17"/>
      <c r="HN51" s="18"/>
      <c r="HO51" s="17"/>
      <c r="HP51" s="18"/>
      <c r="HQ51" s="17"/>
      <c r="HR51" s="18"/>
      <c r="HS51" s="17"/>
      <c r="HT51" s="18"/>
      <c r="HU51" s="17"/>
      <c r="HV51" s="18"/>
      <c r="HW51" s="17"/>
      <c r="HX51" s="18"/>
      <c r="HY51" s="17"/>
      <c r="HZ51" s="18"/>
      <c r="IA51" s="17"/>
      <c r="IB51" s="18"/>
      <c r="IC51" s="17"/>
      <c r="ID51" s="18"/>
      <c r="IE51" s="17"/>
      <c r="IF51" s="18"/>
      <c r="IG51" s="17"/>
      <c r="IH51" s="18"/>
      <c r="II51" s="17"/>
      <c r="IJ51" s="18"/>
      <c r="IK51" s="17"/>
      <c r="IL51" s="18"/>
      <c r="IM51" s="17"/>
      <c r="IN51" s="18"/>
      <c r="IO51" s="17"/>
      <c r="IP51" s="18"/>
      <c r="IQ51" s="17"/>
    </row>
    <row r="52" spans="1:22" s="6" customFormat="1" ht="25.5" customHeight="1">
      <c r="A52" s="41">
        <v>1</v>
      </c>
      <c r="B52" s="45" t="s">
        <v>67</v>
      </c>
      <c r="C52" s="40" t="s">
        <v>17</v>
      </c>
      <c r="D52" s="59" t="s">
        <v>68</v>
      </c>
      <c r="E52" s="36"/>
      <c r="F52" s="36">
        <v>2017</v>
      </c>
      <c r="G52" s="60" t="s">
        <v>167</v>
      </c>
      <c r="H52" s="61">
        <v>1892.019</v>
      </c>
      <c r="I52" s="37">
        <f>H52-148.082</f>
        <v>1743.937</v>
      </c>
      <c r="J52" s="44">
        <v>890.482</v>
      </c>
      <c r="K52" s="37"/>
      <c r="L52" s="37"/>
      <c r="M52" s="37"/>
      <c r="N52" s="37"/>
      <c r="O52" s="37">
        <f aca="true" t="shared" si="15" ref="O52:O81">I52-J52</f>
        <v>853.4549999999999</v>
      </c>
      <c r="P52" s="37"/>
      <c r="Q52" s="37">
        <f aca="true" t="shared" si="16" ref="Q52:Q81">R52+S52+T52+U52</f>
        <v>121.5</v>
      </c>
      <c r="R52" s="37">
        <v>40.5</v>
      </c>
      <c r="S52" s="37">
        <v>81</v>
      </c>
      <c r="T52" s="37"/>
      <c r="U52" s="37"/>
      <c r="V52" s="41"/>
    </row>
    <row r="53" spans="1:22" s="6" customFormat="1" ht="27" customHeight="1">
      <c r="A53" s="41">
        <v>2</v>
      </c>
      <c r="B53" s="62" t="s">
        <v>69</v>
      </c>
      <c r="C53" s="40" t="s">
        <v>17</v>
      </c>
      <c r="D53" s="63" t="s">
        <v>68</v>
      </c>
      <c r="E53" s="36"/>
      <c r="F53" s="36">
        <v>2017</v>
      </c>
      <c r="G53" s="60" t="s">
        <v>168</v>
      </c>
      <c r="H53" s="61">
        <v>1197.44</v>
      </c>
      <c r="I53" s="37">
        <f>H53-91.186</f>
        <v>1106.2540000000001</v>
      </c>
      <c r="J53" s="44">
        <v>547.186</v>
      </c>
      <c r="K53" s="37"/>
      <c r="L53" s="37"/>
      <c r="M53" s="37"/>
      <c r="N53" s="37"/>
      <c r="O53" s="37">
        <f t="shared" si="15"/>
        <v>559.0680000000001</v>
      </c>
      <c r="P53" s="37"/>
      <c r="Q53" s="37">
        <f t="shared" si="16"/>
        <v>79.5</v>
      </c>
      <c r="R53" s="37">
        <v>26.5</v>
      </c>
      <c r="S53" s="37">
        <v>53</v>
      </c>
      <c r="T53" s="37"/>
      <c r="U53" s="37"/>
      <c r="V53" s="41"/>
    </row>
    <row r="54" spans="1:22" s="6" customFormat="1" ht="26.25" customHeight="1">
      <c r="A54" s="41">
        <v>3</v>
      </c>
      <c r="B54" s="64" t="s">
        <v>70</v>
      </c>
      <c r="C54" s="40" t="s">
        <v>17</v>
      </c>
      <c r="D54" s="59" t="s">
        <v>48</v>
      </c>
      <c r="E54" s="36"/>
      <c r="F54" s="36">
        <v>2017</v>
      </c>
      <c r="G54" s="60" t="s">
        <v>169</v>
      </c>
      <c r="H54" s="61">
        <v>1340.923</v>
      </c>
      <c r="I54" s="37">
        <f>H54-98.998-55.529</f>
        <v>1186.396</v>
      </c>
      <c r="J54" s="44">
        <v>661.998</v>
      </c>
      <c r="K54" s="37"/>
      <c r="L54" s="37"/>
      <c r="M54" s="37"/>
      <c r="N54" s="37"/>
      <c r="O54" s="37">
        <f t="shared" si="15"/>
        <v>524.3979999999999</v>
      </c>
      <c r="P54" s="37"/>
      <c r="Q54" s="37">
        <f t="shared" si="16"/>
        <v>85.5</v>
      </c>
      <c r="R54" s="37">
        <v>28.5</v>
      </c>
      <c r="S54" s="37">
        <v>57</v>
      </c>
      <c r="T54" s="37"/>
      <c r="U54" s="37"/>
      <c r="V54" s="41"/>
    </row>
    <row r="55" spans="1:22" s="6" customFormat="1" ht="28.5" customHeight="1">
      <c r="A55" s="41">
        <v>4</v>
      </c>
      <c r="B55" s="62" t="s">
        <v>160</v>
      </c>
      <c r="C55" s="40" t="s">
        <v>17</v>
      </c>
      <c r="D55" s="63" t="s">
        <v>48</v>
      </c>
      <c r="E55" s="36"/>
      <c r="F55" s="36">
        <v>2017</v>
      </c>
      <c r="G55" s="60" t="s">
        <v>170</v>
      </c>
      <c r="H55" s="61">
        <v>2298.297</v>
      </c>
      <c r="I55" s="37">
        <f>H55-106.978</f>
        <v>2191.319</v>
      </c>
      <c r="J55" s="44">
        <f>1018+280.8</f>
        <v>1298.8</v>
      </c>
      <c r="K55" s="37"/>
      <c r="L55" s="37"/>
      <c r="M55" s="37"/>
      <c r="N55" s="37"/>
      <c r="O55" s="37">
        <f t="shared" si="15"/>
        <v>892.519</v>
      </c>
      <c r="P55" s="37"/>
      <c r="Q55" s="37">
        <f t="shared" si="16"/>
        <v>151.5</v>
      </c>
      <c r="R55" s="37">
        <v>50.5</v>
      </c>
      <c r="S55" s="37">
        <v>101</v>
      </c>
      <c r="T55" s="37"/>
      <c r="U55" s="37"/>
      <c r="V55" s="41"/>
    </row>
    <row r="56" spans="1:22" s="6" customFormat="1" ht="28.5" customHeight="1">
      <c r="A56" s="41">
        <v>5</v>
      </c>
      <c r="B56" s="45" t="s">
        <v>71</v>
      </c>
      <c r="C56" s="40" t="s">
        <v>17</v>
      </c>
      <c r="D56" s="59" t="s">
        <v>72</v>
      </c>
      <c r="E56" s="36"/>
      <c r="F56" s="36">
        <v>2017</v>
      </c>
      <c r="G56" s="60" t="s">
        <v>171</v>
      </c>
      <c r="H56" s="61">
        <v>1380.979</v>
      </c>
      <c r="I56" s="37">
        <f>H56-120</f>
        <v>1260.979</v>
      </c>
      <c r="J56" s="44">
        <v>772</v>
      </c>
      <c r="K56" s="37"/>
      <c r="L56" s="37"/>
      <c r="M56" s="37"/>
      <c r="N56" s="37"/>
      <c r="O56" s="37">
        <f t="shared" si="15"/>
        <v>488.97900000000004</v>
      </c>
      <c r="P56" s="37"/>
      <c r="Q56" s="37">
        <f t="shared" si="16"/>
        <v>88.5</v>
      </c>
      <c r="R56" s="37">
        <v>29.5</v>
      </c>
      <c r="S56" s="37">
        <v>59</v>
      </c>
      <c r="T56" s="37"/>
      <c r="U56" s="37"/>
      <c r="V56" s="41"/>
    </row>
    <row r="57" spans="1:22" s="6" customFormat="1" ht="27.75" customHeight="1">
      <c r="A57" s="41">
        <v>6</v>
      </c>
      <c r="B57" s="34" t="s">
        <v>73</v>
      </c>
      <c r="C57" s="40" t="s">
        <v>17</v>
      </c>
      <c r="D57" s="59" t="s">
        <v>29</v>
      </c>
      <c r="E57" s="36"/>
      <c r="F57" s="36">
        <v>2017</v>
      </c>
      <c r="G57" s="60" t="s">
        <v>172</v>
      </c>
      <c r="H57" s="61">
        <v>1749.288</v>
      </c>
      <c r="I57" s="37">
        <f>H57-133.086-39.68</f>
        <v>1576.522</v>
      </c>
      <c r="J57" s="44">
        <v>785.086</v>
      </c>
      <c r="K57" s="37"/>
      <c r="L57" s="37"/>
      <c r="M57" s="37"/>
      <c r="N57" s="37"/>
      <c r="O57" s="37">
        <f t="shared" si="15"/>
        <v>791.4359999999999</v>
      </c>
      <c r="P57" s="37"/>
      <c r="Q57" s="37">
        <f t="shared" si="16"/>
        <v>109.5</v>
      </c>
      <c r="R57" s="37">
        <v>36.5</v>
      </c>
      <c r="S57" s="37">
        <v>73</v>
      </c>
      <c r="T57" s="37"/>
      <c r="U57" s="37"/>
      <c r="V57" s="41"/>
    </row>
    <row r="58" spans="1:22" s="6" customFormat="1" ht="27" customHeight="1">
      <c r="A58" s="41">
        <v>7</v>
      </c>
      <c r="B58" s="62" t="s">
        <v>74</v>
      </c>
      <c r="C58" s="40" t="s">
        <v>17</v>
      </c>
      <c r="D58" s="63" t="s">
        <v>29</v>
      </c>
      <c r="E58" s="36"/>
      <c r="F58" s="36">
        <v>2017</v>
      </c>
      <c r="G58" s="60" t="s">
        <v>173</v>
      </c>
      <c r="H58" s="61">
        <v>1217.234</v>
      </c>
      <c r="I58" s="37">
        <f>H58-92.491-11.78</f>
        <v>1112.963</v>
      </c>
      <c r="J58" s="44">
        <v>549.491</v>
      </c>
      <c r="K58" s="37"/>
      <c r="L58" s="37"/>
      <c r="M58" s="37"/>
      <c r="N58" s="37"/>
      <c r="O58" s="37">
        <f t="shared" si="15"/>
        <v>563.472</v>
      </c>
      <c r="P58" s="37"/>
      <c r="Q58" s="37">
        <f t="shared" si="16"/>
        <v>79.5</v>
      </c>
      <c r="R58" s="37">
        <v>26.5</v>
      </c>
      <c r="S58" s="37">
        <v>53</v>
      </c>
      <c r="T58" s="37"/>
      <c r="U58" s="37"/>
      <c r="V58" s="41"/>
    </row>
    <row r="59" spans="1:22" s="6" customFormat="1" ht="25.5" customHeight="1">
      <c r="A59" s="41">
        <v>8</v>
      </c>
      <c r="B59" s="62" t="s">
        <v>75</v>
      </c>
      <c r="C59" s="40" t="s">
        <v>17</v>
      </c>
      <c r="D59" s="63" t="s">
        <v>29</v>
      </c>
      <c r="E59" s="36"/>
      <c r="F59" s="36">
        <v>2017</v>
      </c>
      <c r="G59" s="60" t="s">
        <v>174</v>
      </c>
      <c r="H59" s="61">
        <v>1107.85</v>
      </c>
      <c r="I59" s="37">
        <f>H59-80.301-51.567</f>
        <v>975.982</v>
      </c>
      <c r="J59" s="44">
        <v>536.9010000000001</v>
      </c>
      <c r="K59" s="37"/>
      <c r="L59" s="37"/>
      <c r="M59" s="37"/>
      <c r="N59" s="37"/>
      <c r="O59" s="37">
        <f t="shared" si="15"/>
        <v>439.0809999999999</v>
      </c>
      <c r="P59" s="37"/>
      <c r="Q59" s="37">
        <f t="shared" si="16"/>
        <v>70.5</v>
      </c>
      <c r="R59" s="37">
        <v>23.5</v>
      </c>
      <c r="S59" s="37">
        <v>47</v>
      </c>
      <c r="T59" s="37"/>
      <c r="U59" s="37"/>
      <c r="V59" s="41"/>
    </row>
    <row r="60" spans="1:22" s="6" customFormat="1" ht="27" customHeight="1">
      <c r="A60" s="41">
        <v>9</v>
      </c>
      <c r="B60" s="45" t="s">
        <v>76</v>
      </c>
      <c r="C60" s="40" t="s">
        <v>17</v>
      </c>
      <c r="D60" s="59" t="s">
        <v>77</v>
      </c>
      <c r="E60" s="36"/>
      <c r="F60" s="36">
        <v>2017</v>
      </c>
      <c r="G60" s="60" t="s">
        <v>175</v>
      </c>
      <c r="H60" s="61">
        <v>1135.379</v>
      </c>
      <c r="I60" s="37">
        <f>H60-79.75-93.872</f>
        <v>961.757</v>
      </c>
      <c r="J60" s="44">
        <v>767.75</v>
      </c>
      <c r="K60" s="37"/>
      <c r="L60" s="37"/>
      <c r="M60" s="37"/>
      <c r="N60" s="37"/>
      <c r="O60" s="37">
        <f t="shared" si="15"/>
        <v>194.00699999999995</v>
      </c>
      <c r="P60" s="37"/>
      <c r="Q60" s="37">
        <f t="shared" si="16"/>
        <v>70.5</v>
      </c>
      <c r="R60" s="37">
        <v>23.5</v>
      </c>
      <c r="S60" s="37">
        <v>47</v>
      </c>
      <c r="T60" s="37"/>
      <c r="U60" s="37"/>
      <c r="V60" s="41"/>
    </row>
    <row r="61" spans="1:22" s="6" customFormat="1" ht="27.75" customHeight="1">
      <c r="A61" s="41">
        <v>10</v>
      </c>
      <c r="B61" s="62" t="s">
        <v>78</v>
      </c>
      <c r="C61" s="40" t="s">
        <v>17</v>
      </c>
      <c r="D61" s="63" t="s">
        <v>77</v>
      </c>
      <c r="E61" s="36"/>
      <c r="F61" s="36">
        <v>2017</v>
      </c>
      <c r="G61" s="60" t="s">
        <v>176</v>
      </c>
      <c r="H61" s="61">
        <v>1190.815</v>
      </c>
      <c r="I61" s="37">
        <f>H61-91.157-41.602</f>
        <v>1058.056</v>
      </c>
      <c r="J61" s="44">
        <v>548.157</v>
      </c>
      <c r="K61" s="37"/>
      <c r="L61" s="37"/>
      <c r="M61" s="37"/>
      <c r="N61" s="37"/>
      <c r="O61" s="37">
        <f t="shared" si="15"/>
        <v>509.899</v>
      </c>
      <c r="P61" s="37"/>
      <c r="Q61" s="37">
        <f t="shared" si="16"/>
        <v>74.4</v>
      </c>
      <c r="R61" s="37">
        <v>24.8</v>
      </c>
      <c r="S61" s="37">
        <v>49.6</v>
      </c>
      <c r="T61" s="37"/>
      <c r="U61" s="37"/>
      <c r="V61" s="41"/>
    </row>
    <row r="62" spans="1:22" s="6" customFormat="1" ht="27" customHeight="1">
      <c r="A62" s="41">
        <v>11</v>
      </c>
      <c r="B62" s="62" t="s">
        <v>79</v>
      </c>
      <c r="C62" s="40" t="s">
        <v>17</v>
      </c>
      <c r="D62" s="63" t="s">
        <v>77</v>
      </c>
      <c r="E62" s="36"/>
      <c r="F62" s="36">
        <v>2017</v>
      </c>
      <c r="G62" s="60" t="s">
        <v>177</v>
      </c>
      <c r="H62" s="61">
        <v>1922.993</v>
      </c>
      <c r="I62" s="37">
        <f>H62-140-33</f>
        <v>1749.993</v>
      </c>
      <c r="J62" s="44">
        <v>881</v>
      </c>
      <c r="K62" s="37"/>
      <c r="L62" s="37"/>
      <c r="M62" s="37"/>
      <c r="N62" s="37"/>
      <c r="O62" s="37">
        <f t="shared" si="15"/>
        <v>868.9929999999999</v>
      </c>
      <c r="P62" s="37"/>
      <c r="Q62" s="37">
        <f t="shared" si="16"/>
        <v>121.5</v>
      </c>
      <c r="R62" s="37">
        <v>40.5</v>
      </c>
      <c r="S62" s="37">
        <v>81</v>
      </c>
      <c r="T62" s="37"/>
      <c r="U62" s="37"/>
      <c r="V62" s="41"/>
    </row>
    <row r="63" spans="1:22" s="6" customFormat="1" ht="25.5" customHeight="1">
      <c r="A63" s="41">
        <v>12</v>
      </c>
      <c r="B63" s="45" t="s">
        <v>80</v>
      </c>
      <c r="C63" s="40" t="s">
        <v>17</v>
      </c>
      <c r="D63" s="59" t="s">
        <v>9</v>
      </c>
      <c r="E63" s="36"/>
      <c r="F63" s="36">
        <v>2017</v>
      </c>
      <c r="G63" s="60" t="s">
        <v>178</v>
      </c>
      <c r="H63" s="61">
        <v>1220.367</v>
      </c>
      <c r="I63" s="37">
        <f>H63-103.411-108.445</f>
        <v>1008.511</v>
      </c>
      <c r="J63" s="44">
        <v>666.4110000000001</v>
      </c>
      <c r="K63" s="37"/>
      <c r="L63" s="37"/>
      <c r="M63" s="37"/>
      <c r="N63" s="37"/>
      <c r="O63" s="37">
        <f t="shared" si="15"/>
        <v>342.0999999999999</v>
      </c>
      <c r="P63" s="37"/>
      <c r="Q63" s="37">
        <f t="shared" si="16"/>
        <v>73.5</v>
      </c>
      <c r="R63" s="37">
        <v>24.5</v>
      </c>
      <c r="S63" s="37">
        <v>49</v>
      </c>
      <c r="T63" s="37"/>
      <c r="U63" s="37"/>
      <c r="V63" s="41"/>
    </row>
    <row r="64" spans="1:22" s="6" customFormat="1" ht="27.75" customHeight="1">
      <c r="A64" s="41">
        <v>13</v>
      </c>
      <c r="B64" s="62" t="s">
        <v>81</v>
      </c>
      <c r="C64" s="40" t="s">
        <v>17</v>
      </c>
      <c r="D64" s="63" t="s">
        <v>9</v>
      </c>
      <c r="E64" s="36"/>
      <c r="F64" s="36">
        <v>2017</v>
      </c>
      <c r="G64" s="60" t="s">
        <v>179</v>
      </c>
      <c r="H64" s="61">
        <v>1906.974</v>
      </c>
      <c r="I64" s="37">
        <f>H64-192.266-169.458</f>
        <v>1545.2499999999998</v>
      </c>
      <c r="J64" s="44">
        <v>933.266</v>
      </c>
      <c r="K64" s="37"/>
      <c r="L64" s="37"/>
      <c r="M64" s="37"/>
      <c r="N64" s="37"/>
      <c r="O64" s="37">
        <f t="shared" si="15"/>
        <v>611.9839999999998</v>
      </c>
      <c r="P64" s="37"/>
      <c r="Q64" s="37">
        <f t="shared" si="16"/>
        <v>106.5</v>
      </c>
      <c r="R64" s="37">
        <v>35.5</v>
      </c>
      <c r="S64" s="37">
        <v>71</v>
      </c>
      <c r="T64" s="37"/>
      <c r="U64" s="37"/>
      <c r="V64" s="41"/>
    </row>
    <row r="65" spans="1:22" s="6" customFormat="1" ht="27" customHeight="1">
      <c r="A65" s="41">
        <v>14</v>
      </c>
      <c r="B65" s="45" t="s">
        <v>82</v>
      </c>
      <c r="C65" s="40" t="s">
        <v>17</v>
      </c>
      <c r="D65" s="59" t="s">
        <v>12</v>
      </c>
      <c r="E65" s="36"/>
      <c r="F65" s="36">
        <v>2017</v>
      </c>
      <c r="G65" s="60" t="s">
        <v>180</v>
      </c>
      <c r="H65" s="61">
        <v>1381.909</v>
      </c>
      <c r="I65" s="37">
        <f>H65-98.5-61.115</f>
        <v>1222.294</v>
      </c>
      <c r="J65" s="44">
        <v>661.5</v>
      </c>
      <c r="K65" s="37"/>
      <c r="L65" s="37"/>
      <c r="M65" s="37"/>
      <c r="N65" s="37"/>
      <c r="O65" s="37">
        <f t="shared" si="15"/>
        <v>560.7940000000001</v>
      </c>
      <c r="P65" s="37"/>
      <c r="Q65" s="37">
        <f t="shared" si="16"/>
        <v>85.5</v>
      </c>
      <c r="R65" s="37">
        <v>28.5</v>
      </c>
      <c r="S65" s="37">
        <v>57</v>
      </c>
      <c r="T65" s="37"/>
      <c r="U65" s="37"/>
      <c r="V65" s="41"/>
    </row>
    <row r="66" spans="1:22" s="6" customFormat="1" ht="27.75" customHeight="1">
      <c r="A66" s="41">
        <v>15</v>
      </c>
      <c r="B66" s="62" t="s">
        <v>83</v>
      </c>
      <c r="C66" s="40" t="s">
        <v>17</v>
      </c>
      <c r="D66" s="63" t="s">
        <v>12</v>
      </c>
      <c r="E66" s="36"/>
      <c r="F66" s="36">
        <v>2017</v>
      </c>
      <c r="G66" s="60" t="s">
        <v>181</v>
      </c>
      <c r="H66" s="61">
        <v>1182.811</v>
      </c>
      <c r="I66" s="37">
        <f>H66-117.107-85.955</f>
        <v>979.7489999999999</v>
      </c>
      <c r="J66" s="44">
        <v>574.107</v>
      </c>
      <c r="K66" s="37"/>
      <c r="L66" s="37"/>
      <c r="M66" s="37"/>
      <c r="N66" s="37"/>
      <c r="O66" s="37">
        <f t="shared" si="15"/>
        <v>405.64199999999994</v>
      </c>
      <c r="P66" s="37"/>
      <c r="Q66" s="37">
        <f t="shared" si="16"/>
        <v>70.5</v>
      </c>
      <c r="R66" s="37">
        <v>23.5</v>
      </c>
      <c r="S66" s="37">
        <v>47</v>
      </c>
      <c r="T66" s="37"/>
      <c r="U66" s="37"/>
      <c r="V66" s="41"/>
    </row>
    <row r="67" spans="1:22" s="6" customFormat="1" ht="27" customHeight="1">
      <c r="A67" s="41">
        <v>16</v>
      </c>
      <c r="B67" s="45" t="s">
        <v>84</v>
      </c>
      <c r="C67" s="40" t="s">
        <v>17</v>
      </c>
      <c r="D67" s="59" t="s">
        <v>85</v>
      </c>
      <c r="E67" s="36"/>
      <c r="F67" s="36">
        <v>2017</v>
      </c>
      <c r="G67" s="60" t="s">
        <v>182</v>
      </c>
      <c r="H67" s="61">
        <v>2577.348</v>
      </c>
      <c r="I67" s="37">
        <f>H67-199.148-300</f>
        <v>2078.2</v>
      </c>
      <c r="J67" s="44">
        <v>830.186</v>
      </c>
      <c r="K67" s="37"/>
      <c r="L67" s="37"/>
      <c r="M67" s="37"/>
      <c r="N67" s="37"/>
      <c r="O67" s="37">
        <f t="shared" si="15"/>
        <v>1248.0139999999997</v>
      </c>
      <c r="P67" s="37"/>
      <c r="Q67" s="37">
        <f t="shared" si="16"/>
        <v>169.5</v>
      </c>
      <c r="R67" s="37">
        <v>56.5</v>
      </c>
      <c r="S67" s="37">
        <v>113</v>
      </c>
      <c r="T67" s="37"/>
      <c r="U67" s="37"/>
      <c r="V67" s="41"/>
    </row>
    <row r="68" spans="1:22" s="6" customFormat="1" ht="27" customHeight="1">
      <c r="A68" s="41">
        <v>17</v>
      </c>
      <c r="B68" s="45" t="s">
        <v>86</v>
      </c>
      <c r="C68" s="40" t="s">
        <v>17</v>
      </c>
      <c r="D68" s="59" t="s">
        <v>87</v>
      </c>
      <c r="E68" s="36"/>
      <c r="F68" s="36">
        <v>2017</v>
      </c>
      <c r="G68" s="60" t="s">
        <v>183</v>
      </c>
      <c r="H68" s="61">
        <v>1108.852</v>
      </c>
      <c r="I68" s="37">
        <f>H68-99.126-51.615</f>
        <v>958.1110000000001</v>
      </c>
      <c r="J68" s="44">
        <v>877.348</v>
      </c>
      <c r="K68" s="37"/>
      <c r="L68" s="37"/>
      <c r="M68" s="37"/>
      <c r="N68" s="37"/>
      <c r="O68" s="37">
        <f t="shared" si="15"/>
        <v>80.76300000000015</v>
      </c>
      <c r="P68" s="37"/>
      <c r="Q68" s="37">
        <f t="shared" si="16"/>
        <v>70.5</v>
      </c>
      <c r="R68" s="37">
        <v>23.5</v>
      </c>
      <c r="S68" s="37">
        <v>47</v>
      </c>
      <c r="T68" s="37"/>
      <c r="U68" s="37"/>
      <c r="V68" s="41"/>
    </row>
    <row r="69" spans="1:22" s="6" customFormat="1" ht="27.75" customHeight="1">
      <c r="A69" s="41">
        <v>18</v>
      </c>
      <c r="B69" s="62" t="s">
        <v>88</v>
      </c>
      <c r="C69" s="40" t="s">
        <v>17</v>
      </c>
      <c r="D69" s="63" t="s">
        <v>87</v>
      </c>
      <c r="E69" s="36"/>
      <c r="F69" s="36">
        <v>2017</v>
      </c>
      <c r="G69" s="60" t="s">
        <v>184</v>
      </c>
      <c r="H69" s="61">
        <v>2038.055</v>
      </c>
      <c r="I69" s="37">
        <f>H69-137.753-10</f>
        <v>1890.3020000000001</v>
      </c>
      <c r="J69" s="44">
        <v>878.7529999999999</v>
      </c>
      <c r="K69" s="37"/>
      <c r="L69" s="37"/>
      <c r="M69" s="37"/>
      <c r="N69" s="37"/>
      <c r="O69" s="37">
        <f t="shared" si="15"/>
        <v>1011.5490000000002</v>
      </c>
      <c r="P69" s="37"/>
      <c r="Q69" s="37">
        <f t="shared" si="16"/>
        <v>130.5</v>
      </c>
      <c r="R69" s="37">
        <v>43.5</v>
      </c>
      <c r="S69" s="37">
        <v>87</v>
      </c>
      <c r="T69" s="37"/>
      <c r="U69" s="37"/>
      <c r="V69" s="41"/>
    </row>
    <row r="70" spans="1:22" s="6" customFormat="1" ht="27" customHeight="1">
      <c r="A70" s="41">
        <v>19</v>
      </c>
      <c r="B70" s="45" t="s">
        <v>89</v>
      </c>
      <c r="C70" s="40" t="s">
        <v>17</v>
      </c>
      <c r="D70" s="59" t="s">
        <v>90</v>
      </c>
      <c r="E70" s="36"/>
      <c r="F70" s="36">
        <v>2017</v>
      </c>
      <c r="G70" s="60" t="s">
        <v>185</v>
      </c>
      <c r="H70" s="61">
        <v>1963.238</v>
      </c>
      <c r="I70" s="37">
        <f>H70-199.35-156.743</f>
        <v>1607.1450000000002</v>
      </c>
      <c r="J70" s="44">
        <f>940.35+280.7</f>
        <v>1221.05</v>
      </c>
      <c r="K70" s="37"/>
      <c r="L70" s="37"/>
      <c r="M70" s="37"/>
      <c r="N70" s="37"/>
      <c r="O70" s="37">
        <f t="shared" si="15"/>
        <v>386.09500000000025</v>
      </c>
      <c r="P70" s="37"/>
      <c r="Q70" s="37">
        <f t="shared" si="16"/>
        <v>112.5</v>
      </c>
      <c r="R70" s="37">
        <v>37.5</v>
      </c>
      <c r="S70" s="37">
        <v>75</v>
      </c>
      <c r="T70" s="37"/>
      <c r="U70" s="37"/>
      <c r="V70" s="41"/>
    </row>
    <row r="71" spans="1:22" s="6" customFormat="1" ht="27" customHeight="1">
      <c r="A71" s="41">
        <v>20</v>
      </c>
      <c r="B71" s="62" t="s">
        <v>91</v>
      </c>
      <c r="C71" s="40" t="s">
        <v>17</v>
      </c>
      <c r="D71" s="63" t="s">
        <v>90</v>
      </c>
      <c r="E71" s="36"/>
      <c r="F71" s="36">
        <v>2017</v>
      </c>
      <c r="G71" s="60" t="s">
        <v>186</v>
      </c>
      <c r="H71" s="61">
        <v>2398.844</v>
      </c>
      <c r="I71" s="37">
        <f>H71-240-100.487</f>
        <v>2058.357</v>
      </c>
      <c r="J71" s="44">
        <f>1158+280.7</f>
        <v>1438.7</v>
      </c>
      <c r="K71" s="37"/>
      <c r="L71" s="37"/>
      <c r="M71" s="37"/>
      <c r="N71" s="37"/>
      <c r="O71" s="37">
        <f t="shared" si="15"/>
        <v>619.6569999999999</v>
      </c>
      <c r="P71" s="37"/>
      <c r="Q71" s="37">
        <f t="shared" si="16"/>
        <v>142.5</v>
      </c>
      <c r="R71" s="37">
        <v>47.5</v>
      </c>
      <c r="S71" s="37">
        <v>95</v>
      </c>
      <c r="T71" s="37"/>
      <c r="U71" s="37"/>
      <c r="V71" s="41"/>
    </row>
    <row r="72" spans="1:22" s="6" customFormat="1" ht="26.25" customHeight="1">
      <c r="A72" s="41">
        <v>21</v>
      </c>
      <c r="B72" s="45" t="s">
        <v>92</v>
      </c>
      <c r="C72" s="40" t="s">
        <v>17</v>
      </c>
      <c r="D72" s="59" t="s">
        <v>93</v>
      </c>
      <c r="E72" s="36"/>
      <c r="F72" s="36">
        <v>2017</v>
      </c>
      <c r="G72" s="60" t="s">
        <v>187</v>
      </c>
      <c r="H72" s="61">
        <v>1454.371</v>
      </c>
      <c r="I72" s="37">
        <f>H72-95.309-129.239</f>
        <v>1229.823</v>
      </c>
      <c r="J72" s="44">
        <v>836.309</v>
      </c>
      <c r="K72" s="37"/>
      <c r="L72" s="37"/>
      <c r="M72" s="37"/>
      <c r="N72" s="37"/>
      <c r="O72" s="37">
        <f t="shared" si="15"/>
        <v>393.5140000000001</v>
      </c>
      <c r="P72" s="37"/>
      <c r="Q72" s="37">
        <f t="shared" si="16"/>
        <v>88.5</v>
      </c>
      <c r="R72" s="37">
        <v>29.5</v>
      </c>
      <c r="S72" s="37">
        <v>59</v>
      </c>
      <c r="T72" s="37"/>
      <c r="U72" s="37"/>
      <c r="V72" s="41"/>
    </row>
    <row r="73" spans="1:22" s="5" customFormat="1" ht="25.5">
      <c r="A73" s="41">
        <v>22</v>
      </c>
      <c r="B73" s="62" t="s">
        <v>94</v>
      </c>
      <c r="C73" s="40" t="s">
        <v>17</v>
      </c>
      <c r="D73" s="63" t="s">
        <v>93</v>
      </c>
      <c r="E73" s="38"/>
      <c r="F73" s="36">
        <v>2017</v>
      </c>
      <c r="G73" s="60" t="s">
        <v>188</v>
      </c>
      <c r="H73" s="61">
        <v>1649.019</v>
      </c>
      <c r="I73" s="46">
        <f>H73-76.757</f>
        <v>1572.262</v>
      </c>
      <c r="J73" s="44">
        <v>544</v>
      </c>
      <c r="K73" s="46"/>
      <c r="L73" s="46"/>
      <c r="M73" s="46"/>
      <c r="N73" s="46"/>
      <c r="O73" s="37">
        <f t="shared" si="15"/>
        <v>1028.262</v>
      </c>
      <c r="P73" s="47"/>
      <c r="Q73" s="37">
        <f t="shared" si="16"/>
        <v>109.5</v>
      </c>
      <c r="R73" s="37">
        <v>36.5</v>
      </c>
      <c r="S73" s="37">
        <v>73</v>
      </c>
      <c r="T73" s="37"/>
      <c r="U73" s="65"/>
      <c r="V73" s="38"/>
    </row>
    <row r="74" spans="1:22" s="5" customFormat="1" ht="25.5">
      <c r="A74" s="41">
        <v>23</v>
      </c>
      <c r="B74" s="45" t="s">
        <v>95</v>
      </c>
      <c r="C74" s="40" t="s">
        <v>17</v>
      </c>
      <c r="D74" s="59" t="s">
        <v>54</v>
      </c>
      <c r="E74" s="38"/>
      <c r="F74" s="36">
        <v>2017</v>
      </c>
      <c r="G74" s="60" t="s">
        <v>189</v>
      </c>
      <c r="H74" s="61">
        <v>1250.295</v>
      </c>
      <c r="I74" s="46">
        <f>H74-111.045-58.197</f>
        <v>1081.0529999999999</v>
      </c>
      <c r="J74" s="44">
        <v>572.247</v>
      </c>
      <c r="K74" s="46"/>
      <c r="L74" s="46"/>
      <c r="M74" s="46"/>
      <c r="N74" s="46"/>
      <c r="O74" s="37">
        <f t="shared" si="15"/>
        <v>508.8059999999999</v>
      </c>
      <c r="P74" s="47"/>
      <c r="Q74" s="37">
        <f t="shared" si="16"/>
        <v>76.5</v>
      </c>
      <c r="R74" s="37">
        <v>25.5</v>
      </c>
      <c r="S74" s="37">
        <v>51</v>
      </c>
      <c r="T74" s="37"/>
      <c r="U74" s="65"/>
      <c r="V74" s="38"/>
    </row>
    <row r="75" spans="1:22" s="5" customFormat="1" ht="25.5">
      <c r="A75" s="41">
        <v>24</v>
      </c>
      <c r="B75" s="62" t="s">
        <v>96</v>
      </c>
      <c r="C75" s="40" t="s">
        <v>17</v>
      </c>
      <c r="D75" s="63" t="s">
        <v>54</v>
      </c>
      <c r="E75" s="38"/>
      <c r="F75" s="36">
        <v>2017</v>
      </c>
      <c r="G75" s="60" t="s">
        <v>190</v>
      </c>
      <c r="H75" s="61">
        <v>1076.29</v>
      </c>
      <c r="I75" s="46">
        <f>H75-63.29-50.098</f>
        <v>962.902</v>
      </c>
      <c r="J75" s="44">
        <v>530.847</v>
      </c>
      <c r="K75" s="46"/>
      <c r="L75" s="46"/>
      <c r="M75" s="46"/>
      <c r="N75" s="46"/>
      <c r="O75" s="37">
        <f t="shared" si="15"/>
        <v>432.05500000000006</v>
      </c>
      <c r="P75" s="47"/>
      <c r="Q75" s="37">
        <f t="shared" si="16"/>
        <v>70.5</v>
      </c>
      <c r="R75" s="37">
        <v>23.5</v>
      </c>
      <c r="S75" s="37">
        <v>47</v>
      </c>
      <c r="T75" s="37"/>
      <c r="U75" s="65"/>
      <c r="V75" s="38"/>
    </row>
    <row r="76" spans="1:22" s="5" customFormat="1" ht="25.5">
      <c r="A76" s="41">
        <v>25</v>
      </c>
      <c r="B76" s="45" t="s">
        <v>97</v>
      </c>
      <c r="C76" s="40" t="s">
        <v>17</v>
      </c>
      <c r="D76" s="59" t="s">
        <v>6</v>
      </c>
      <c r="E76" s="38"/>
      <c r="F76" s="36">
        <v>2017</v>
      </c>
      <c r="G76" s="60" t="s">
        <v>132</v>
      </c>
      <c r="H76" s="61">
        <v>2485.015</v>
      </c>
      <c r="I76" s="61">
        <f>H76-248.651-220.825</f>
        <v>2015.539</v>
      </c>
      <c r="J76" s="44">
        <v>1025.386</v>
      </c>
      <c r="K76" s="46"/>
      <c r="L76" s="46"/>
      <c r="M76" s="46"/>
      <c r="N76" s="46"/>
      <c r="O76" s="37">
        <f t="shared" si="15"/>
        <v>990.153</v>
      </c>
      <c r="P76" s="47"/>
      <c r="Q76" s="37">
        <f t="shared" si="16"/>
        <v>168</v>
      </c>
      <c r="R76" s="37">
        <v>56</v>
      </c>
      <c r="S76" s="37">
        <v>112</v>
      </c>
      <c r="T76" s="37"/>
      <c r="U76" s="65"/>
      <c r="V76" s="38"/>
    </row>
    <row r="77" spans="1:22" s="5" customFormat="1" ht="25.5">
      <c r="A77" s="41">
        <v>26</v>
      </c>
      <c r="B77" s="45" t="s">
        <v>98</v>
      </c>
      <c r="C77" s="40" t="s">
        <v>17</v>
      </c>
      <c r="D77" s="59" t="s">
        <v>6</v>
      </c>
      <c r="E77" s="38"/>
      <c r="F77" s="36">
        <v>2017</v>
      </c>
      <c r="G77" s="60" t="s">
        <v>131</v>
      </c>
      <c r="H77" s="61">
        <v>1190.703</v>
      </c>
      <c r="I77" s="61">
        <f>H77-111.655-50.226</f>
        <v>1028.8220000000001</v>
      </c>
      <c r="J77" s="44">
        <v>568.655</v>
      </c>
      <c r="K77" s="46"/>
      <c r="L77" s="46"/>
      <c r="M77" s="46"/>
      <c r="N77" s="46"/>
      <c r="O77" s="37">
        <f t="shared" si="15"/>
        <v>460.16700000000014</v>
      </c>
      <c r="P77" s="47"/>
      <c r="Q77" s="37">
        <f t="shared" si="16"/>
        <v>73.5</v>
      </c>
      <c r="R77" s="37">
        <v>24.5</v>
      </c>
      <c r="S77" s="37">
        <v>49</v>
      </c>
      <c r="T77" s="37"/>
      <c r="U77" s="65"/>
      <c r="V77" s="38"/>
    </row>
    <row r="78" spans="1:22" s="5" customFormat="1" ht="25.5">
      <c r="A78" s="41">
        <v>27</v>
      </c>
      <c r="B78" s="62" t="s">
        <v>99</v>
      </c>
      <c r="C78" s="40" t="s">
        <v>17</v>
      </c>
      <c r="D78" s="63" t="s">
        <v>6</v>
      </c>
      <c r="E78" s="38"/>
      <c r="F78" s="36">
        <v>2017</v>
      </c>
      <c r="G78" s="60" t="s">
        <v>130</v>
      </c>
      <c r="H78" s="61">
        <v>1163.959</v>
      </c>
      <c r="I78" s="61">
        <f>H78-118.726-55.427</f>
        <v>989.8060000000002</v>
      </c>
      <c r="J78" s="44">
        <v>575.726</v>
      </c>
      <c r="K78" s="46"/>
      <c r="L78" s="46"/>
      <c r="M78" s="46"/>
      <c r="N78" s="46"/>
      <c r="O78" s="37">
        <f t="shared" si="15"/>
        <v>414.08000000000015</v>
      </c>
      <c r="P78" s="47"/>
      <c r="Q78" s="37">
        <f t="shared" si="16"/>
        <v>70.5</v>
      </c>
      <c r="R78" s="37">
        <v>23.5</v>
      </c>
      <c r="S78" s="37">
        <v>47</v>
      </c>
      <c r="T78" s="37"/>
      <c r="U78" s="65"/>
      <c r="V78" s="38"/>
    </row>
    <row r="79" spans="1:22" s="5" customFormat="1" ht="25.5">
      <c r="A79" s="41">
        <v>28</v>
      </c>
      <c r="B79" s="45" t="s">
        <v>100</v>
      </c>
      <c r="C79" s="40" t="s">
        <v>17</v>
      </c>
      <c r="D79" s="59" t="s">
        <v>101</v>
      </c>
      <c r="E79" s="38"/>
      <c r="F79" s="36">
        <v>2017</v>
      </c>
      <c r="G79" s="60" t="s">
        <v>191</v>
      </c>
      <c r="H79" s="61">
        <v>2475.72</v>
      </c>
      <c r="I79" s="61">
        <f>H79-270.014</f>
        <v>2205.7059999999997</v>
      </c>
      <c r="J79" s="44">
        <v>1188.0140000000001</v>
      </c>
      <c r="K79" s="46"/>
      <c r="L79" s="46"/>
      <c r="M79" s="46"/>
      <c r="N79" s="46"/>
      <c r="O79" s="37">
        <f t="shared" si="15"/>
        <v>1017.6919999999996</v>
      </c>
      <c r="P79" s="47"/>
      <c r="Q79" s="37">
        <f t="shared" si="16"/>
        <v>184.5</v>
      </c>
      <c r="R79" s="37">
        <v>61.5</v>
      </c>
      <c r="S79" s="37">
        <v>123</v>
      </c>
      <c r="T79" s="37"/>
      <c r="U79" s="65"/>
      <c r="V79" s="38"/>
    </row>
    <row r="80" spans="1:22" s="5" customFormat="1" ht="25.5">
      <c r="A80" s="41">
        <v>29</v>
      </c>
      <c r="B80" s="62" t="s">
        <v>102</v>
      </c>
      <c r="C80" s="40" t="s">
        <v>17</v>
      </c>
      <c r="D80" s="63" t="s">
        <v>101</v>
      </c>
      <c r="E80" s="38"/>
      <c r="F80" s="36">
        <v>2017</v>
      </c>
      <c r="G80" s="60" t="s">
        <v>129</v>
      </c>
      <c r="H80" s="61">
        <v>1185.628</v>
      </c>
      <c r="I80" s="61">
        <f>H80-111.927-65.6</f>
        <v>1008.101</v>
      </c>
      <c r="J80" s="44">
        <v>568.927</v>
      </c>
      <c r="K80" s="46"/>
      <c r="L80" s="46"/>
      <c r="M80" s="46"/>
      <c r="N80" s="46"/>
      <c r="O80" s="37">
        <f t="shared" si="15"/>
        <v>439.174</v>
      </c>
      <c r="P80" s="47"/>
      <c r="Q80" s="37">
        <f t="shared" si="16"/>
        <v>71.1</v>
      </c>
      <c r="R80" s="37">
        <v>23.7</v>
      </c>
      <c r="S80" s="37">
        <v>47.4</v>
      </c>
      <c r="T80" s="37"/>
      <c r="U80" s="65"/>
      <c r="V80" s="38"/>
    </row>
    <row r="81" spans="1:22" s="5" customFormat="1" ht="25.5">
      <c r="A81" s="41">
        <v>30</v>
      </c>
      <c r="B81" s="62" t="s">
        <v>104</v>
      </c>
      <c r="C81" s="40" t="s">
        <v>17</v>
      </c>
      <c r="D81" s="63" t="s">
        <v>103</v>
      </c>
      <c r="E81" s="38"/>
      <c r="F81" s="36">
        <v>2017</v>
      </c>
      <c r="G81" s="60" t="s">
        <v>192</v>
      </c>
      <c r="H81" s="61">
        <v>1137.574</v>
      </c>
      <c r="I81" s="61">
        <f>H81-116.208</f>
        <v>1021.3660000000001</v>
      </c>
      <c r="J81" s="44">
        <v>573.208</v>
      </c>
      <c r="K81" s="46"/>
      <c r="L81" s="46"/>
      <c r="M81" s="46"/>
      <c r="N81" s="46"/>
      <c r="O81" s="37">
        <f t="shared" si="15"/>
        <v>448.15800000000013</v>
      </c>
      <c r="P81" s="47"/>
      <c r="Q81" s="37">
        <f t="shared" si="16"/>
        <v>73.5</v>
      </c>
      <c r="R81" s="37">
        <v>24.5</v>
      </c>
      <c r="S81" s="37">
        <v>49</v>
      </c>
      <c r="T81" s="37"/>
      <c r="U81" s="65"/>
      <c r="V81" s="38"/>
    </row>
    <row r="82" spans="1:21" ht="12">
      <c r="A82" s="3"/>
      <c r="O82" s="3"/>
      <c r="P82" s="3"/>
      <c r="Q82" s="3"/>
      <c r="R82" s="3"/>
      <c r="S82" s="3"/>
      <c r="T82" s="3"/>
      <c r="U82" s="3"/>
    </row>
  </sheetData>
  <sheetProtection/>
  <mergeCells count="24">
    <mergeCell ref="G4:I4"/>
    <mergeCell ref="G5:G6"/>
    <mergeCell ref="H5:H6"/>
    <mergeCell ref="O4:P4"/>
    <mergeCell ref="Q4:U4"/>
    <mergeCell ref="O5:O6"/>
    <mergeCell ref="P5:P6"/>
    <mergeCell ref="Q5:Q6"/>
    <mergeCell ref="R5:U5"/>
    <mergeCell ref="A4:A6"/>
    <mergeCell ref="B4:B6"/>
    <mergeCell ref="C4:C6"/>
    <mergeCell ref="D4:D6"/>
    <mergeCell ref="E4:E6"/>
    <mergeCell ref="F4:F6"/>
    <mergeCell ref="V4:V6"/>
    <mergeCell ref="J4:J6"/>
    <mergeCell ref="A1:V1"/>
    <mergeCell ref="A2:V2"/>
    <mergeCell ref="M3:V3"/>
    <mergeCell ref="K4:K6"/>
    <mergeCell ref="L4:L6"/>
    <mergeCell ref="M4:M6"/>
    <mergeCell ref="I5:I6"/>
  </mergeCells>
  <printOptions/>
  <pageMargins left="0.24" right="0.2" top="0.34" bottom="0.28" header="0.2" footer="0.19"/>
  <pageSetup horizontalDpi="600" verticalDpi="600" orientation="landscape" paperSize="9" scale="7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2018-01-02T03:08:03Z</cp:lastPrinted>
  <dcterms:created xsi:type="dcterms:W3CDTF">2017-11-15T10:44:05Z</dcterms:created>
  <dcterms:modified xsi:type="dcterms:W3CDTF">2018-01-23T07:33:57Z</dcterms:modified>
  <cp:category/>
  <cp:version/>
  <cp:contentType/>
  <cp:contentStatus/>
</cp:coreProperties>
</file>